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875" tabRatio="847"/>
  </bookViews>
  <sheets>
    <sheet name="Introduction" sheetId="4" r:id="rId1"/>
    <sheet name="0. Sheet" sheetId="14" r:id="rId2"/>
    <sheet name="1. Priorities" sheetId="1" r:id="rId3"/>
    <sheet name="2. Attributes" sheetId="8" r:id="rId4"/>
    <sheet name="3. Qualities-Positive" sheetId="11" r:id="rId5"/>
    <sheet name="4. Qualities-Negative" sheetId="13" r:id="rId6"/>
    <sheet name="5. Active Skills" sheetId="15" r:id="rId7"/>
    <sheet name="6. Knowledge Skills" sheetId="16" r:id="rId8"/>
    <sheet name="7. Magic" sheetId="17" r:id="rId9"/>
    <sheet name="8. Gear" sheetId="18" r:id="rId10"/>
    <sheet name="9. Augmentation" sheetId="23" r:id="rId11"/>
    <sheet name="10. Vehicle" sheetId="22" r:id="rId12"/>
    <sheet name="11. Contacts" sheetId="20" r:id="rId13"/>
    <sheet name="DATA" sheetId="6" state="hidden" r:id="rId14"/>
    <sheet name="X. Template" sheetId="10" state="hidden" r:id="rId15"/>
  </sheets>
  <calcPr calcId="145621"/>
</workbook>
</file>

<file path=xl/calcChain.xml><?xml version="1.0" encoding="utf-8"?>
<calcChain xmlns="http://schemas.openxmlformats.org/spreadsheetml/2006/main">
  <c r="F14" i="14" l="1"/>
  <c r="F11" i="14"/>
  <c r="F8" i="14"/>
  <c r="F5" i="14"/>
  <c r="A14" i="14"/>
  <c r="A11" i="14"/>
  <c r="V4" i="20" l="1"/>
  <c r="Y14" i="1"/>
  <c r="P16" i="1"/>
  <c r="AH1" i="23"/>
  <c r="AA1" i="23"/>
  <c r="T1" i="23"/>
  <c r="L1" i="23"/>
  <c r="C1" i="23"/>
  <c r="BF6" i="23"/>
  <c r="BF7" i="23"/>
  <c r="BF8" i="23"/>
  <c r="BF9" i="23"/>
  <c r="BF10" i="23"/>
  <c r="BF11" i="23"/>
  <c r="BF12" i="23"/>
  <c r="BF13" i="23"/>
  <c r="BF14" i="23"/>
  <c r="BF15" i="23"/>
  <c r="BF16" i="23"/>
  <c r="BF17" i="23"/>
  <c r="BF18" i="23"/>
  <c r="BF19" i="23"/>
  <c r="BF20" i="23"/>
  <c r="BF21" i="23"/>
  <c r="BF22" i="23"/>
  <c r="BF23" i="23"/>
  <c r="BF24" i="23"/>
  <c r="BF25" i="23"/>
  <c r="BF26" i="23"/>
  <c r="BF27" i="23"/>
  <c r="BF28" i="23"/>
  <c r="BF29" i="23"/>
  <c r="BF30" i="23"/>
  <c r="BF31" i="23"/>
  <c r="BF32" i="23"/>
  <c r="BF33" i="23"/>
  <c r="BF34" i="23"/>
  <c r="BF35" i="23"/>
  <c r="BF36" i="23"/>
  <c r="BF37" i="23"/>
  <c r="BF38" i="23"/>
  <c r="BF39" i="23"/>
  <c r="BF40" i="23"/>
  <c r="BF41" i="23"/>
  <c r="BF42" i="23"/>
  <c r="BF43" i="23"/>
  <c r="BF5" i="23"/>
  <c r="BH5" i="23" s="1"/>
  <c r="Z6" i="23"/>
  <c r="AB6" i="23" s="1"/>
  <c r="Z7" i="23"/>
  <c r="AB7" i="23" s="1"/>
  <c r="Z8" i="23"/>
  <c r="Z9" i="23"/>
  <c r="Z10" i="23"/>
  <c r="AB10" i="23" s="1"/>
  <c r="Z11" i="23"/>
  <c r="AB11" i="23" s="1"/>
  <c r="Z12" i="23"/>
  <c r="Z13" i="23"/>
  <c r="Z14" i="23"/>
  <c r="AB14" i="23" s="1"/>
  <c r="Z15" i="23"/>
  <c r="AB15" i="23" s="1"/>
  <c r="Z16" i="23"/>
  <c r="Z17" i="23"/>
  <c r="Z18" i="23"/>
  <c r="AB18" i="23" s="1"/>
  <c r="Z19" i="23"/>
  <c r="AB19" i="23" s="1"/>
  <c r="Z20" i="23"/>
  <c r="Z21" i="23"/>
  <c r="Z22" i="23"/>
  <c r="AB22" i="23" s="1"/>
  <c r="Z23" i="23"/>
  <c r="AB23" i="23" s="1"/>
  <c r="Z24" i="23"/>
  <c r="Z25" i="23"/>
  <c r="Z26" i="23"/>
  <c r="AB26" i="23" s="1"/>
  <c r="Z27" i="23"/>
  <c r="AB27" i="23" s="1"/>
  <c r="Z28" i="23"/>
  <c r="Z29" i="23"/>
  <c r="Z30" i="23"/>
  <c r="Z31" i="23"/>
  <c r="AB31" i="23" s="1"/>
  <c r="Z32" i="23"/>
  <c r="Z33" i="23"/>
  <c r="Z34" i="23"/>
  <c r="AB34" i="23" s="1"/>
  <c r="Z35" i="23"/>
  <c r="AB35" i="23" s="1"/>
  <c r="Z36" i="23"/>
  <c r="Z37" i="23"/>
  <c r="Z38" i="23"/>
  <c r="AB38" i="23" s="1"/>
  <c r="Z39" i="23"/>
  <c r="AB39" i="23" s="1"/>
  <c r="Z40" i="23"/>
  <c r="Z41" i="23"/>
  <c r="Z42" i="23"/>
  <c r="AB42" i="23" s="1"/>
  <c r="Z43" i="23"/>
  <c r="AB43" i="23" s="1"/>
  <c r="AB33" i="23"/>
  <c r="AB36" i="23"/>
  <c r="AB37" i="23"/>
  <c r="AB40" i="23"/>
  <c r="AB41" i="23"/>
  <c r="AB8" i="23"/>
  <c r="AB9" i="23"/>
  <c r="AB12" i="23"/>
  <c r="AB13" i="23"/>
  <c r="AB16" i="23"/>
  <c r="AB17" i="23"/>
  <c r="AB20" i="23"/>
  <c r="AB21" i="23"/>
  <c r="AB24" i="23"/>
  <c r="AB25" i="23"/>
  <c r="AB28" i="23"/>
  <c r="AB29" i="23"/>
  <c r="AB30" i="23"/>
  <c r="AB32" i="23"/>
  <c r="Z5" i="23"/>
  <c r="AB5" i="23" s="1"/>
  <c r="BH43" i="23"/>
  <c r="BD43" i="23"/>
  <c r="X43" i="23"/>
  <c r="BH42" i="23"/>
  <c r="BD42" i="23"/>
  <c r="X42" i="23"/>
  <c r="BH41" i="23"/>
  <c r="BD41" i="23"/>
  <c r="X41" i="23"/>
  <c r="BH40" i="23"/>
  <c r="BD40" i="23"/>
  <c r="X40" i="23"/>
  <c r="BH39" i="23"/>
  <c r="BD39" i="23"/>
  <c r="X39" i="23"/>
  <c r="BH38" i="23"/>
  <c r="BD38" i="23"/>
  <c r="X38" i="23"/>
  <c r="BH37" i="23"/>
  <c r="BD37" i="23"/>
  <c r="X37" i="23"/>
  <c r="BH36" i="23"/>
  <c r="BD36" i="23"/>
  <c r="X36" i="23"/>
  <c r="BH35" i="23"/>
  <c r="BD35" i="23"/>
  <c r="X35" i="23"/>
  <c r="BH34" i="23"/>
  <c r="BD34" i="23"/>
  <c r="X34" i="23"/>
  <c r="BH33" i="23"/>
  <c r="BD33" i="23"/>
  <c r="X33" i="23"/>
  <c r="BH32" i="23"/>
  <c r="BD32" i="23"/>
  <c r="X32" i="23"/>
  <c r="BH31" i="23"/>
  <c r="BD31" i="23"/>
  <c r="X31" i="23"/>
  <c r="BH30" i="23"/>
  <c r="BD30" i="23"/>
  <c r="X30" i="23"/>
  <c r="BH29" i="23"/>
  <c r="BD29" i="23"/>
  <c r="X29" i="23"/>
  <c r="BH28" i="23"/>
  <c r="BD28" i="23"/>
  <c r="X28" i="23"/>
  <c r="BH27" i="23"/>
  <c r="BD27" i="23"/>
  <c r="X27" i="23"/>
  <c r="BH26" i="23"/>
  <c r="BD26" i="23"/>
  <c r="X26" i="23"/>
  <c r="BH25" i="23"/>
  <c r="BD25" i="23"/>
  <c r="X25" i="23"/>
  <c r="BH24" i="23"/>
  <c r="BD24" i="23"/>
  <c r="X24" i="23"/>
  <c r="BH23" i="23"/>
  <c r="BD23" i="23"/>
  <c r="X23" i="23"/>
  <c r="BH22" i="23"/>
  <c r="BD22" i="23"/>
  <c r="X22" i="23"/>
  <c r="BH21" i="23"/>
  <c r="BD21" i="23"/>
  <c r="X21" i="23"/>
  <c r="BH20" i="23"/>
  <c r="BD20" i="23"/>
  <c r="X20" i="23"/>
  <c r="BH19" i="23"/>
  <c r="BD19" i="23"/>
  <c r="X19" i="23"/>
  <c r="BH18" i="23"/>
  <c r="BD18" i="23"/>
  <c r="X18" i="23"/>
  <c r="BH17" i="23"/>
  <c r="BD17" i="23"/>
  <c r="X17" i="23"/>
  <c r="BH16" i="23"/>
  <c r="BD16" i="23"/>
  <c r="X16" i="23"/>
  <c r="BH15" i="23"/>
  <c r="BD15" i="23"/>
  <c r="X15" i="23"/>
  <c r="BH14" i="23"/>
  <c r="BD14" i="23"/>
  <c r="X14" i="23"/>
  <c r="BH13" i="23"/>
  <c r="BD13" i="23"/>
  <c r="X13" i="23"/>
  <c r="BH12" i="23"/>
  <c r="BD12" i="23"/>
  <c r="X12" i="23"/>
  <c r="BH11" i="23"/>
  <c r="BD11" i="23"/>
  <c r="X11" i="23"/>
  <c r="BH10" i="23"/>
  <c r="BD10" i="23"/>
  <c r="X10" i="23"/>
  <c r="BH9" i="23"/>
  <c r="BD9" i="23"/>
  <c r="X9" i="23"/>
  <c r="BH8" i="23"/>
  <c r="BD8" i="23"/>
  <c r="X8" i="23"/>
  <c r="BH7" i="23"/>
  <c r="BD7" i="23"/>
  <c r="X7" i="23"/>
  <c r="BH6" i="23"/>
  <c r="BD6" i="23"/>
  <c r="X6" i="23"/>
  <c r="BD5" i="23"/>
  <c r="X5" i="23"/>
  <c r="BD44" i="23" l="1"/>
  <c r="X44" i="23"/>
  <c r="BM44" i="23" s="1"/>
  <c r="BK44" i="23"/>
  <c r="AE44" i="23"/>
  <c r="AL35" i="22"/>
  <c r="BL44" i="23" l="1"/>
  <c r="AY25" i="22"/>
  <c r="AY6" i="22"/>
  <c r="AY11" i="22"/>
  <c r="AY8" i="22"/>
  <c r="AY9" i="22"/>
  <c r="AY10" i="22"/>
  <c r="AY7" i="22"/>
  <c r="AZ7" i="22"/>
  <c r="AZ11" i="22"/>
  <c r="AZ8" i="22"/>
  <c r="AZ9" i="22"/>
  <c r="AZ10" i="22"/>
  <c r="AY14" i="22"/>
  <c r="AY15" i="22"/>
  <c r="AY16" i="22"/>
  <c r="AY17" i="22"/>
  <c r="AY18" i="22"/>
  <c r="AY19" i="22"/>
  <c r="AY20" i="22"/>
  <c r="AY21" i="22"/>
  <c r="AY22" i="22"/>
  <c r="AY23" i="22"/>
  <c r="AY24" i="22"/>
  <c r="AY13" i="22"/>
  <c r="AW6" i="22"/>
  <c r="AS6" i="22"/>
  <c r="AO6" i="22"/>
  <c r="AV5" i="22" l="1"/>
  <c r="AH1" i="22"/>
  <c r="AA1" i="22"/>
  <c r="T1" i="22"/>
  <c r="L1" i="22"/>
  <c r="C1" i="22"/>
  <c r="BP6" i="17"/>
  <c r="BN5" i="17"/>
  <c r="M6" i="22" l="1"/>
  <c r="N6" i="22"/>
  <c r="O6" i="22"/>
  <c r="P6" i="22"/>
  <c r="Q6" i="22"/>
  <c r="R6" i="22"/>
  <c r="S6" i="22"/>
  <c r="T6" i="22"/>
  <c r="U6" i="22"/>
  <c r="AG6" i="22"/>
  <c r="M7" i="22"/>
  <c r="N7" i="22"/>
  <c r="O7" i="22"/>
  <c r="P7" i="22"/>
  <c r="Q7" i="22"/>
  <c r="R7" i="22"/>
  <c r="S7" i="22"/>
  <c r="T7" i="22"/>
  <c r="U7" i="22"/>
  <c r="AG7" i="22"/>
  <c r="M8" i="22"/>
  <c r="N8" i="22"/>
  <c r="O8" i="22"/>
  <c r="P8" i="22"/>
  <c r="Q8" i="22"/>
  <c r="R8" i="22"/>
  <c r="S8" i="22"/>
  <c r="T8" i="22"/>
  <c r="U8" i="22"/>
  <c r="AG8" i="22"/>
  <c r="M9" i="22"/>
  <c r="N9" i="22"/>
  <c r="O9" i="22"/>
  <c r="P9" i="22"/>
  <c r="Q9" i="22"/>
  <c r="R9" i="22"/>
  <c r="S9" i="22"/>
  <c r="T9" i="22"/>
  <c r="U9" i="22"/>
  <c r="AG9" i="22"/>
  <c r="M10" i="22"/>
  <c r="N10" i="22"/>
  <c r="O10" i="22"/>
  <c r="P10" i="22"/>
  <c r="Q10" i="22"/>
  <c r="R10" i="22"/>
  <c r="S10" i="22"/>
  <c r="T10" i="22"/>
  <c r="U10" i="22"/>
  <c r="AG10" i="22"/>
  <c r="M11" i="22"/>
  <c r="N11" i="22"/>
  <c r="O11" i="22"/>
  <c r="P11" i="22"/>
  <c r="Q11" i="22"/>
  <c r="R11" i="22"/>
  <c r="S11" i="22"/>
  <c r="T11" i="22"/>
  <c r="U11" i="22"/>
  <c r="AG11" i="22"/>
  <c r="M12" i="22"/>
  <c r="N12" i="22"/>
  <c r="O12" i="22"/>
  <c r="P12" i="22"/>
  <c r="Q12" i="22"/>
  <c r="R12" i="22"/>
  <c r="S12" i="22"/>
  <c r="T12" i="22"/>
  <c r="U12" i="22"/>
  <c r="AG12" i="22"/>
  <c r="M13" i="22"/>
  <c r="N13" i="22"/>
  <c r="O13" i="22"/>
  <c r="P13" i="22"/>
  <c r="Q13" i="22"/>
  <c r="R13" i="22"/>
  <c r="S13" i="22"/>
  <c r="T13" i="22"/>
  <c r="U13" i="22"/>
  <c r="AG13" i="22"/>
  <c r="M14" i="22"/>
  <c r="N14" i="22"/>
  <c r="O14" i="22"/>
  <c r="P14" i="22"/>
  <c r="Q14" i="22"/>
  <c r="R14" i="22"/>
  <c r="S14" i="22"/>
  <c r="T14" i="22"/>
  <c r="U14" i="22"/>
  <c r="AG14" i="22"/>
  <c r="M15" i="22"/>
  <c r="N15" i="22"/>
  <c r="O15" i="22"/>
  <c r="P15" i="22"/>
  <c r="Q15" i="22"/>
  <c r="R15" i="22"/>
  <c r="S15" i="22"/>
  <c r="T15" i="22"/>
  <c r="U15" i="22"/>
  <c r="AG15" i="22"/>
  <c r="M16" i="22"/>
  <c r="N16" i="22"/>
  <c r="O16" i="22"/>
  <c r="P16" i="22"/>
  <c r="Q16" i="22"/>
  <c r="R16" i="22"/>
  <c r="S16" i="22"/>
  <c r="T16" i="22"/>
  <c r="U16" i="22"/>
  <c r="AG16" i="22"/>
  <c r="M17" i="22"/>
  <c r="N17" i="22"/>
  <c r="O17" i="22"/>
  <c r="P17" i="22"/>
  <c r="Q17" i="22"/>
  <c r="R17" i="22"/>
  <c r="S17" i="22"/>
  <c r="T17" i="22"/>
  <c r="U17" i="22"/>
  <c r="AG17" i="22"/>
  <c r="M18" i="22"/>
  <c r="N18" i="22"/>
  <c r="O18" i="22"/>
  <c r="P18" i="22"/>
  <c r="Q18" i="22"/>
  <c r="R18" i="22"/>
  <c r="S18" i="22"/>
  <c r="T18" i="22"/>
  <c r="U18" i="22"/>
  <c r="AG18" i="22"/>
  <c r="M19" i="22"/>
  <c r="N19" i="22"/>
  <c r="O19" i="22"/>
  <c r="P19" i="22"/>
  <c r="Q19" i="22"/>
  <c r="R19" i="22"/>
  <c r="S19" i="22"/>
  <c r="T19" i="22"/>
  <c r="U19" i="22"/>
  <c r="AG19" i="22"/>
  <c r="M20" i="22"/>
  <c r="N20" i="22"/>
  <c r="O20" i="22"/>
  <c r="P20" i="22"/>
  <c r="Q20" i="22"/>
  <c r="R20" i="22"/>
  <c r="S20" i="22"/>
  <c r="T20" i="22"/>
  <c r="U20" i="22"/>
  <c r="AG20" i="22"/>
  <c r="M21" i="22"/>
  <c r="N21" i="22"/>
  <c r="O21" i="22"/>
  <c r="P21" i="22"/>
  <c r="Q21" i="22"/>
  <c r="R21" i="22"/>
  <c r="S21" i="22"/>
  <c r="T21" i="22"/>
  <c r="U21" i="22"/>
  <c r="AG21" i="22"/>
  <c r="M22" i="22"/>
  <c r="N22" i="22"/>
  <c r="O22" i="22"/>
  <c r="P22" i="22"/>
  <c r="Q22" i="22"/>
  <c r="R22" i="22"/>
  <c r="S22" i="22"/>
  <c r="T22" i="22"/>
  <c r="U22" i="22"/>
  <c r="AG22" i="22"/>
  <c r="M23" i="22"/>
  <c r="N23" i="22"/>
  <c r="O23" i="22"/>
  <c r="P23" i="22"/>
  <c r="Q23" i="22"/>
  <c r="R23" i="22"/>
  <c r="S23" i="22"/>
  <c r="T23" i="22"/>
  <c r="U23" i="22"/>
  <c r="AG23" i="22"/>
  <c r="M24" i="22"/>
  <c r="N24" i="22"/>
  <c r="O24" i="22"/>
  <c r="P24" i="22"/>
  <c r="Q24" i="22"/>
  <c r="R24" i="22"/>
  <c r="S24" i="22"/>
  <c r="T24" i="22"/>
  <c r="U24" i="22"/>
  <c r="AG24" i="22"/>
  <c r="M25" i="22"/>
  <c r="N25" i="22"/>
  <c r="O25" i="22"/>
  <c r="P25" i="22"/>
  <c r="Q25" i="22"/>
  <c r="R25" i="22"/>
  <c r="S25" i="22"/>
  <c r="T25" i="22"/>
  <c r="U25" i="22"/>
  <c r="AG25" i="22"/>
  <c r="M26" i="22"/>
  <c r="N26" i="22"/>
  <c r="O26" i="22"/>
  <c r="P26" i="22"/>
  <c r="Q26" i="22"/>
  <c r="R26" i="22"/>
  <c r="S26" i="22"/>
  <c r="T26" i="22"/>
  <c r="U26" i="22"/>
  <c r="AG26" i="22"/>
  <c r="M27" i="22"/>
  <c r="N27" i="22"/>
  <c r="O27" i="22"/>
  <c r="P27" i="22"/>
  <c r="Q27" i="22"/>
  <c r="R27" i="22"/>
  <c r="S27" i="22"/>
  <c r="T27" i="22"/>
  <c r="U27" i="22"/>
  <c r="AG27" i="22"/>
  <c r="M28" i="22"/>
  <c r="N28" i="22"/>
  <c r="O28" i="22"/>
  <c r="P28" i="22"/>
  <c r="Q28" i="22"/>
  <c r="R28" i="22"/>
  <c r="S28" i="22"/>
  <c r="T28" i="22"/>
  <c r="U28" i="22"/>
  <c r="AG28" i="22"/>
  <c r="M29" i="22"/>
  <c r="N29" i="22"/>
  <c r="O29" i="22"/>
  <c r="P29" i="22"/>
  <c r="Q29" i="22"/>
  <c r="R29" i="22"/>
  <c r="S29" i="22"/>
  <c r="T29" i="22"/>
  <c r="U29" i="22"/>
  <c r="AG29" i="22"/>
  <c r="M30" i="22"/>
  <c r="N30" i="22"/>
  <c r="O30" i="22"/>
  <c r="P30" i="22"/>
  <c r="Q30" i="22"/>
  <c r="R30" i="22"/>
  <c r="S30" i="22"/>
  <c r="T30" i="22"/>
  <c r="U30" i="22"/>
  <c r="AG30" i="22"/>
  <c r="M31" i="22"/>
  <c r="N31" i="22"/>
  <c r="O31" i="22"/>
  <c r="P31" i="22"/>
  <c r="Q31" i="22"/>
  <c r="R31" i="22"/>
  <c r="S31" i="22"/>
  <c r="T31" i="22"/>
  <c r="U31" i="22"/>
  <c r="AG31" i="22"/>
  <c r="M32" i="22"/>
  <c r="N32" i="22"/>
  <c r="O32" i="22"/>
  <c r="P32" i="22"/>
  <c r="Q32" i="22"/>
  <c r="R32" i="22"/>
  <c r="S32" i="22"/>
  <c r="T32" i="22"/>
  <c r="U32" i="22"/>
  <c r="AG32" i="22"/>
  <c r="M33" i="22"/>
  <c r="N33" i="22"/>
  <c r="O33" i="22"/>
  <c r="P33" i="22"/>
  <c r="Q33" i="22"/>
  <c r="R33" i="22"/>
  <c r="S33" i="22"/>
  <c r="T33" i="22"/>
  <c r="U33" i="22"/>
  <c r="AG33" i="22"/>
  <c r="M34" i="22"/>
  <c r="N34" i="22"/>
  <c r="O34" i="22"/>
  <c r="P34" i="22"/>
  <c r="Q34" i="22"/>
  <c r="R34" i="22"/>
  <c r="S34" i="22"/>
  <c r="T34" i="22"/>
  <c r="U34" i="22"/>
  <c r="AG34" i="22"/>
  <c r="U5" i="22"/>
  <c r="Y35" i="22" s="1"/>
  <c r="T5" i="22"/>
  <c r="S5" i="22"/>
  <c r="R5" i="22"/>
  <c r="Q5" i="22"/>
  <c r="P5" i="22"/>
  <c r="O5" i="22"/>
  <c r="N5" i="22"/>
  <c r="M5" i="22"/>
  <c r="AG5" i="22"/>
  <c r="AK35" i="22" l="1"/>
  <c r="Y17" i="1" s="1"/>
  <c r="BN6" i="18"/>
  <c r="BN7" i="18"/>
  <c r="BN8" i="18"/>
  <c r="BN9" i="18"/>
  <c r="BN10" i="18"/>
  <c r="BN11" i="18"/>
  <c r="BN12" i="18"/>
  <c r="BN13" i="18"/>
  <c r="BN14" i="18"/>
  <c r="BN15" i="18"/>
  <c r="BN16" i="18"/>
  <c r="BN17" i="18"/>
  <c r="BN5" i="18"/>
  <c r="BG6" i="18"/>
  <c r="BG7" i="18"/>
  <c r="BG8" i="18"/>
  <c r="BG9" i="18"/>
  <c r="BG10" i="18"/>
  <c r="BG11" i="18"/>
  <c r="BG12" i="18"/>
  <c r="BG13" i="18"/>
  <c r="BG14" i="18"/>
  <c r="BG15" i="18"/>
  <c r="BG16" i="18"/>
  <c r="BG17" i="18"/>
  <c r="BG5" i="18"/>
  <c r="AS6" i="18" l="1"/>
  <c r="BA7" i="18" l="1"/>
  <c r="BA6" i="18"/>
  <c r="AZ6" i="18"/>
  <c r="AY6" i="18"/>
  <c r="AX6" i="18"/>
  <c r="AU5" i="18"/>
  <c r="BR17" i="18"/>
  <c r="BQ17" i="18"/>
  <c r="BP17" i="18"/>
  <c r="BR16" i="18"/>
  <c r="BQ16" i="18"/>
  <c r="BP16" i="18"/>
  <c r="BR15" i="18"/>
  <c r="BQ15" i="18"/>
  <c r="BP15" i="18"/>
  <c r="BR14" i="18"/>
  <c r="BQ14" i="18"/>
  <c r="BP14" i="18"/>
  <c r="BR13" i="18"/>
  <c r="BQ13" i="18"/>
  <c r="BP13" i="18"/>
  <c r="BR12" i="18"/>
  <c r="BQ12" i="18"/>
  <c r="BP12" i="18"/>
  <c r="BR11" i="18"/>
  <c r="BQ11" i="18"/>
  <c r="BP11" i="18"/>
  <c r="BR10" i="18"/>
  <c r="BQ10" i="18"/>
  <c r="BP10" i="18"/>
  <c r="BR9" i="18"/>
  <c r="BQ9" i="18"/>
  <c r="BP9" i="18"/>
  <c r="BQ8" i="18"/>
  <c r="BP8" i="18"/>
  <c r="BQ7" i="18"/>
  <c r="BP7" i="18"/>
  <c r="BQ6" i="18"/>
  <c r="BP6" i="18"/>
  <c r="BQ5" i="18"/>
  <c r="BP5" i="18"/>
  <c r="Z37" i="18"/>
  <c r="BP18" i="18" l="1"/>
  <c r="Z39" i="18" s="1"/>
  <c r="Z36" i="18" s="1"/>
  <c r="P6" i="13"/>
  <c r="AP30" i="18" l="1"/>
  <c r="AL32" i="18"/>
  <c r="AL33" i="18"/>
  <c r="AL34" i="18"/>
  <c r="AL31" i="18"/>
  <c r="Z38" i="18" l="1"/>
  <c r="O15" i="8"/>
  <c r="O7" i="8"/>
  <c r="O8" i="8"/>
  <c r="O9" i="8"/>
  <c r="O10" i="8"/>
  <c r="O11" i="8"/>
  <c r="O12" i="8"/>
  <c r="O13" i="8"/>
  <c r="O6" i="8"/>
  <c r="G18" i="1" l="1"/>
  <c r="J20" i="8" l="1"/>
  <c r="H18" i="8" l="1"/>
  <c r="H17" i="8"/>
  <c r="AH1" i="20" l="1"/>
  <c r="L1" i="20"/>
  <c r="C1" i="20"/>
  <c r="AH1" i="18"/>
  <c r="L1" i="18"/>
  <c r="C1" i="18"/>
  <c r="AH1" i="17"/>
  <c r="L1" i="17"/>
  <c r="C1" i="17"/>
  <c r="AH1" i="16"/>
  <c r="L1" i="16"/>
  <c r="C1" i="16"/>
  <c r="AH1" i="15"/>
  <c r="L1" i="15"/>
  <c r="C1" i="15"/>
  <c r="AH1" i="13"/>
  <c r="L1" i="13"/>
  <c r="C1" i="13"/>
  <c r="AH1" i="11"/>
  <c r="L1" i="11"/>
  <c r="C1" i="11"/>
  <c r="AH1" i="8"/>
  <c r="L1" i="8"/>
  <c r="C1" i="8"/>
  <c r="C1" i="1"/>
  <c r="V5" i="20"/>
  <c r="AL28" i="18"/>
  <c r="AL27" i="18"/>
  <c r="AL26" i="18"/>
  <c r="AL25" i="18"/>
  <c r="AL24" i="18"/>
  <c r="AL23" i="18"/>
  <c r="AL22" i="18"/>
  <c r="AL21" i="18"/>
  <c r="AL20" i="18"/>
  <c r="AL19" i="18"/>
  <c r="AL18" i="18"/>
  <c r="AL17" i="18"/>
  <c r="AL16" i="18"/>
  <c r="AL15" i="18"/>
  <c r="AL14" i="18"/>
  <c r="AL13" i="18"/>
  <c r="AL12" i="18"/>
  <c r="AL11" i="18"/>
  <c r="AL7" i="18"/>
  <c r="AL8" i="18"/>
  <c r="AL9" i="18"/>
  <c r="AL10" i="18"/>
  <c r="AL5" i="18"/>
  <c r="AL6" i="18"/>
  <c r="U41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54" i="18"/>
  <c r="U55" i="18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5" i="18"/>
  <c r="Y15" i="1" l="1"/>
  <c r="Y13" i="1"/>
  <c r="Y16" i="1"/>
  <c r="BP7" i="17"/>
  <c r="G21" i="1" s="1"/>
  <c r="AN7" i="17"/>
  <c r="AP7" i="17"/>
  <c r="AN8" i="17"/>
  <c r="AP8" i="17"/>
  <c r="AN9" i="17"/>
  <c r="AP9" i="17"/>
  <c r="AN10" i="17"/>
  <c r="AP10" i="17"/>
  <c r="AN11" i="17"/>
  <c r="AP11" i="17"/>
  <c r="AN12" i="17"/>
  <c r="AP12" i="17"/>
  <c r="AN13" i="17"/>
  <c r="AP13" i="17"/>
  <c r="AN14" i="17"/>
  <c r="AP14" i="17"/>
  <c r="AN15" i="17"/>
  <c r="AP15" i="17"/>
  <c r="AN16" i="17"/>
  <c r="AP16" i="17"/>
  <c r="AN17" i="17"/>
  <c r="AP17" i="17"/>
  <c r="AN18" i="17"/>
  <c r="AP18" i="17"/>
  <c r="AN19" i="17"/>
  <c r="AP19" i="17"/>
  <c r="AN20" i="17"/>
  <c r="AP20" i="17"/>
  <c r="AN21" i="17"/>
  <c r="AP21" i="17"/>
  <c r="AN22" i="17"/>
  <c r="AP22" i="17"/>
  <c r="AN23" i="17"/>
  <c r="AP23" i="17"/>
  <c r="AN24" i="17"/>
  <c r="AP24" i="17"/>
  <c r="AN25" i="17"/>
  <c r="AP25" i="17"/>
  <c r="AP6" i="17"/>
  <c r="AN6" i="17"/>
  <c r="H63" i="15"/>
  <c r="H59" i="15"/>
  <c r="H55" i="15"/>
  <c r="H51" i="15"/>
  <c r="H46" i="15"/>
  <c r="H42" i="15"/>
  <c r="H38" i="15"/>
  <c r="H34" i="15"/>
  <c r="H30" i="15"/>
  <c r="H26" i="15"/>
  <c r="H22" i="15"/>
  <c r="H18" i="15"/>
  <c r="H14" i="15"/>
  <c r="H10" i="15"/>
  <c r="H6" i="15"/>
  <c r="AT18" i="15"/>
  <c r="AS18" i="15"/>
  <c r="Y21" i="1" l="1"/>
  <c r="BO7" i="17"/>
  <c r="G20" i="1" s="1"/>
  <c r="H102" i="15"/>
  <c r="H100" i="15"/>
  <c r="H99" i="15"/>
  <c r="H98" i="15"/>
  <c r="H97" i="15"/>
  <c r="H96" i="15"/>
  <c r="H93" i="15"/>
  <c r="H92" i="15"/>
  <c r="H91" i="15"/>
  <c r="H89" i="15"/>
  <c r="H88" i="15"/>
  <c r="H87" i="15"/>
  <c r="H85" i="15"/>
  <c r="H84" i="15"/>
  <c r="H83" i="15"/>
  <c r="H82" i="15"/>
  <c r="H81" i="15"/>
  <c r="H80" i="15"/>
  <c r="H78" i="15"/>
  <c r="H77" i="15"/>
  <c r="H75" i="15"/>
  <c r="H74" i="15"/>
  <c r="H73" i="15"/>
  <c r="H72" i="15"/>
  <c r="H71" i="15"/>
  <c r="H70" i="15"/>
  <c r="H69" i="15"/>
  <c r="H68" i="15"/>
  <c r="H66" i="15"/>
  <c r="H65" i="15"/>
  <c r="H64" i="15"/>
  <c r="H62" i="15"/>
  <c r="H61" i="15"/>
  <c r="H60" i="15"/>
  <c r="H57" i="15"/>
  <c r="H56" i="15"/>
  <c r="H54" i="15"/>
  <c r="H53" i="15"/>
  <c r="H52" i="15"/>
  <c r="H50" i="15"/>
  <c r="H49" i="15"/>
  <c r="H48" i="15"/>
  <c r="H47" i="15"/>
  <c r="H45" i="15"/>
  <c r="H44" i="15"/>
  <c r="H43" i="15"/>
  <c r="H41" i="15"/>
  <c r="H40" i="15"/>
  <c r="H39" i="15"/>
  <c r="H37" i="15"/>
  <c r="H36" i="15"/>
  <c r="H31" i="15"/>
  <c r="H33" i="15"/>
  <c r="H32" i="15"/>
  <c r="H29" i="15"/>
  <c r="H28" i="15"/>
  <c r="H27" i="15"/>
  <c r="H24" i="15"/>
  <c r="H23" i="15"/>
  <c r="H21" i="15"/>
  <c r="H20" i="15"/>
  <c r="H19" i="15"/>
  <c r="H17" i="15"/>
  <c r="H16" i="15"/>
  <c r="H15" i="15"/>
  <c r="H13" i="15"/>
  <c r="H12" i="15"/>
  <c r="H11" i="15"/>
  <c r="H9" i="15"/>
  <c r="H8" i="15"/>
  <c r="H7" i="15"/>
  <c r="AE23" i="15" l="1"/>
  <c r="AE49" i="15"/>
  <c r="AE54" i="15"/>
  <c r="AE89" i="15"/>
  <c r="AP20" i="15"/>
  <c r="AP19" i="15"/>
  <c r="AQ19" i="15"/>
  <c r="AP11" i="15"/>
  <c r="AP6" i="15"/>
  <c r="AP4" i="15" s="1"/>
  <c r="AP5" i="15"/>
  <c r="U8" i="1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6" i="17"/>
  <c r="BO5" i="17"/>
  <c r="BP5" i="17" s="1"/>
  <c r="AD6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AD20" i="16"/>
  <c r="AD21" i="16"/>
  <c r="AD22" i="16"/>
  <c r="AD23" i="16"/>
  <c r="AD24" i="16"/>
  <c r="AD25" i="16"/>
  <c r="AD7" i="16"/>
  <c r="AF7" i="16"/>
  <c r="AF6" i="16"/>
  <c r="AE63" i="15"/>
  <c r="AG102" i="15"/>
  <c r="AE102" i="15" s="1"/>
  <c r="AG100" i="15"/>
  <c r="AE100" i="15" s="1"/>
  <c r="AG99" i="15"/>
  <c r="AE99" i="15" s="1"/>
  <c r="AG98" i="15"/>
  <c r="AE98" i="15" s="1"/>
  <c r="AG97" i="15"/>
  <c r="AE97" i="15" s="1"/>
  <c r="AG96" i="15"/>
  <c r="AE96" i="15" s="1"/>
  <c r="AG95" i="15"/>
  <c r="AG93" i="15"/>
  <c r="AE93" i="15" s="1"/>
  <c r="AG92" i="15"/>
  <c r="AE92" i="15" s="1"/>
  <c r="AG91" i="15"/>
  <c r="AE91" i="15" s="1"/>
  <c r="AG89" i="15"/>
  <c r="AG88" i="15"/>
  <c r="AE88" i="15" s="1"/>
  <c r="AG87" i="15"/>
  <c r="AE87" i="15" s="1"/>
  <c r="AG85" i="15"/>
  <c r="AE85" i="15" s="1"/>
  <c r="AG84" i="15"/>
  <c r="AE84" i="15" s="1"/>
  <c r="AG83" i="15"/>
  <c r="AE83" i="15" s="1"/>
  <c r="AG82" i="15"/>
  <c r="AE82" i="15" s="1"/>
  <c r="AG81" i="15"/>
  <c r="AE81" i="15" s="1"/>
  <c r="AG80" i="15"/>
  <c r="AE80" i="15" s="1"/>
  <c r="AG78" i="15"/>
  <c r="AE78" i="15" s="1"/>
  <c r="AG77" i="15"/>
  <c r="AE77" i="15" s="1"/>
  <c r="AG75" i="15"/>
  <c r="AE75" i="15" s="1"/>
  <c r="AG74" i="15"/>
  <c r="AE74" i="15" s="1"/>
  <c r="AG73" i="15"/>
  <c r="AE73" i="15" s="1"/>
  <c r="AG72" i="15"/>
  <c r="AE72" i="15" s="1"/>
  <c r="AG71" i="15"/>
  <c r="AE71" i="15" s="1"/>
  <c r="AG70" i="15"/>
  <c r="AE70" i="15" s="1"/>
  <c r="AG69" i="15"/>
  <c r="AE69" i="15" s="1"/>
  <c r="AG68" i="15"/>
  <c r="AE68" i="15" s="1"/>
  <c r="AG66" i="15"/>
  <c r="AE66" i="15" s="1"/>
  <c r="AG65" i="15"/>
  <c r="AE65" i="15" s="1"/>
  <c r="AG64" i="15"/>
  <c r="AE64" i="15" s="1"/>
  <c r="AG62" i="15"/>
  <c r="AE62" i="15" s="1"/>
  <c r="AG61" i="15"/>
  <c r="AE61" i="15" s="1"/>
  <c r="AG60" i="15"/>
  <c r="AE60" i="15" s="1"/>
  <c r="AG58" i="15"/>
  <c r="AG57" i="15"/>
  <c r="AE57" i="15" s="1"/>
  <c r="AG56" i="15"/>
  <c r="AE56" i="15" s="1"/>
  <c r="AG54" i="15"/>
  <c r="AG53" i="15"/>
  <c r="AE53" i="15" s="1"/>
  <c r="AG52" i="15"/>
  <c r="AE52" i="15" s="1"/>
  <c r="AG50" i="15"/>
  <c r="AE50" i="15" s="1"/>
  <c r="AG49" i="15"/>
  <c r="AG48" i="15"/>
  <c r="AE48" i="15" s="1"/>
  <c r="AG47" i="15"/>
  <c r="AE47" i="15" s="1"/>
  <c r="AG45" i="15"/>
  <c r="AE45" i="15" s="1"/>
  <c r="AG44" i="15"/>
  <c r="AE44" i="15" s="1"/>
  <c r="AG43" i="15"/>
  <c r="AE43" i="15" s="1"/>
  <c r="AG41" i="15"/>
  <c r="AE41" i="15" s="1"/>
  <c r="AG40" i="15"/>
  <c r="AE40" i="15" s="1"/>
  <c r="AG39" i="15"/>
  <c r="AE39" i="15" s="1"/>
  <c r="AG37" i="15"/>
  <c r="AE37" i="15" s="1"/>
  <c r="AG36" i="15"/>
  <c r="AE36" i="15" s="1"/>
  <c r="AG35" i="15"/>
  <c r="AG33" i="15"/>
  <c r="AE33" i="15" s="1"/>
  <c r="AG32" i="15"/>
  <c r="AE32" i="15" s="1"/>
  <c r="AG31" i="15"/>
  <c r="AE31" i="15" s="1"/>
  <c r="AG29" i="15"/>
  <c r="AE29" i="15" s="1"/>
  <c r="AG28" i="15"/>
  <c r="AE28" i="15" s="1"/>
  <c r="AG27" i="15"/>
  <c r="AE27" i="15" s="1"/>
  <c r="AG25" i="15"/>
  <c r="AG24" i="15"/>
  <c r="AE24" i="15" s="1"/>
  <c r="AG23" i="15"/>
  <c r="AG21" i="15"/>
  <c r="AE21" i="15" s="1"/>
  <c r="AG20" i="15"/>
  <c r="AE20" i="15" s="1"/>
  <c r="AG19" i="15"/>
  <c r="AE19" i="15" s="1"/>
  <c r="AG17" i="15"/>
  <c r="AE17" i="15" s="1"/>
  <c r="AG16" i="15"/>
  <c r="AE16" i="15" s="1"/>
  <c r="AG15" i="15"/>
  <c r="AE15" i="15" s="1"/>
  <c r="AG13" i="15"/>
  <c r="AE13" i="15" s="1"/>
  <c r="AG12" i="15"/>
  <c r="AE12" i="15" s="1"/>
  <c r="AG11" i="15"/>
  <c r="AE11" i="15" s="1"/>
  <c r="AG8" i="15"/>
  <c r="AE8" i="15" s="1"/>
  <c r="AG9" i="15"/>
  <c r="AE9" i="15" s="1"/>
  <c r="AG7" i="15"/>
  <c r="AE7" i="15" s="1"/>
  <c r="AE10" i="15"/>
  <c r="AE59" i="15"/>
  <c r="AE55" i="15"/>
  <c r="AE51" i="15"/>
  <c r="AE46" i="15"/>
  <c r="AE42" i="15"/>
  <c r="AE38" i="15"/>
  <c r="AE34" i="15"/>
  <c r="AE30" i="15"/>
  <c r="AE26" i="15"/>
  <c r="AE22" i="15"/>
  <c r="AE18" i="15"/>
  <c r="AE14" i="15"/>
  <c r="AR13" i="15" l="1"/>
  <c r="AR16" i="15"/>
  <c r="AP16" i="15" s="1"/>
  <c r="AR14" i="15"/>
  <c r="AR17" i="15"/>
  <c r="AP17" i="15" s="1"/>
  <c r="AR15" i="15"/>
  <c r="V5" i="17"/>
  <c r="BQ5" i="17"/>
  <c r="A4" i="17" s="1"/>
  <c r="AH1" i="1"/>
  <c r="L1" i="1"/>
  <c r="AH1" i="10"/>
  <c r="L1" i="10"/>
  <c r="C1" i="10"/>
  <c r="AP13" i="15" l="1"/>
  <c r="AR18" i="15"/>
  <c r="BA17" i="15"/>
  <c r="AZ14" i="15"/>
  <c r="AP14" i="15"/>
  <c r="BA16" i="15"/>
  <c r="AZ15" i="15"/>
  <c r="AP15" i="15"/>
  <c r="AZ13" i="15"/>
  <c r="BO6" i="17"/>
  <c r="G19" i="1" s="1"/>
  <c r="BN7" i="17"/>
  <c r="AE1" i="14"/>
  <c r="R20" i="8"/>
  <c r="AR32" i="13"/>
  <c r="AR30" i="13"/>
  <c r="AR29" i="13"/>
  <c r="AR28" i="13"/>
  <c r="AR26" i="13"/>
  <c r="AR23" i="13"/>
  <c r="AR21" i="13"/>
  <c r="AR17" i="13"/>
  <c r="AR12" i="13"/>
  <c r="AR9" i="13"/>
  <c r="AR5" i="13"/>
  <c r="AR24" i="11"/>
  <c r="AR15" i="11"/>
  <c r="AR10" i="11"/>
  <c r="AR36" i="11" s="1"/>
  <c r="F18" i="8"/>
  <c r="H15" i="8"/>
  <c r="H13" i="8"/>
  <c r="H12" i="8"/>
  <c r="H11" i="8"/>
  <c r="H10" i="8"/>
  <c r="H9" i="8"/>
  <c r="H8" i="8"/>
  <c r="H7" i="8"/>
  <c r="F15" i="8"/>
  <c r="R15" i="8" s="1"/>
  <c r="F13" i="8"/>
  <c r="R13" i="8" s="1"/>
  <c r="V6" i="20" s="1"/>
  <c r="F12" i="8"/>
  <c r="F11" i="8"/>
  <c r="F10" i="8"/>
  <c r="R10" i="8" s="1"/>
  <c r="F9" i="8"/>
  <c r="R9" i="8" s="1"/>
  <c r="F8" i="8"/>
  <c r="F7" i="8"/>
  <c r="H6" i="8"/>
  <c r="F6" i="8"/>
  <c r="R6" i="8" s="1"/>
  <c r="A5" i="14" s="1"/>
  <c r="Y12" i="1"/>
  <c r="L5" i="1"/>
  <c r="L6" i="1"/>
  <c r="L7" i="1"/>
  <c r="L8" i="1"/>
  <c r="L4" i="1"/>
  <c r="P20" i="13"/>
  <c r="P25" i="13"/>
  <c r="R34" i="13"/>
  <c r="J8" i="1"/>
  <c r="J5" i="1"/>
  <c r="J6" i="1"/>
  <c r="J7" i="1"/>
  <c r="J4" i="1"/>
  <c r="K5" i="1"/>
  <c r="K6" i="1"/>
  <c r="K7" i="1"/>
  <c r="K8" i="1"/>
  <c r="K4" i="1"/>
  <c r="P26" i="13"/>
  <c r="P22" i="13"/>
  <c r="P18" i="13"/>
  <c r="P5" i="13"/>
  <c r="P7" i="13"/>
  <c r="P8" i="13"/>
  <c r="P9" i="13"/>
  <c r="P10" i="13"/>
  <c r="P11" i="13"/>
  <c r="P12" i="13"/>
  <c r="P13" i="13"/>
  <c r="P14" i="13"/>
  <c r="P15" i="13"/>
  <c r="P16" i="13"/>
  <c r="P17" i="13"/>
  <c r="P19" i="13"/>
  <c r="P21" i="13"/>
  <c r="P23" i="13"/>
  <c r="P24" i="13"/>
  <c r="P27" i="13"/>
  <c r="P28" i="13"/>
  <c r="P29" i="13"/>
  <c r="P30" i="13"/>
  <c r="P31" i="13"/>
  <c r="P32" i="13"/>
  <c r="AA2" i="22" l="1"/>
  <c r="AA2" i="23"/>
  <c r="AA2" i="1"/>
  <c r="R18" i="8"/>
  <c r="O18" i="8"/>
  <c r="X9" i="8"/>
  <c r="V7" i="20"/>
  <c r="G15" i="1" s="1"/>
  <c r="X4" i="20"/>
  <c r="BA18" i="15"/>
  <c r="AZ18" i="15"/>
  <c r="AA2" i="17"/>
  <c r="AA2" i="18"/>
  <c r="AA2" i="16"/>
  <c r="AA2" i="13"/>
  <c r="AA2" i="8"/>
  <c r="AA2" i="20"/>
  <c r="AA2" i="15"/>
  <c r="AA2" i="11"/>
  <c r="AA2" i="10"/>
  <c r="AR33" i="13"/>
  <c r="AA1" i="10" s="1"/>
  <c r="H58" i="15"/>
  <c r="AE58" i="15" s="1"/>
  <c r="H95" i="15"/>
  <c r="AE95" i="15" s="1"/>
  <c r="H25" i="15"/>
  <c r="AE25" i="15" s="1"/>
  <c r="H35" i="15"/>
  <c r="AE35" i="15" s="1"/>
  <c r="R11" i="8"/>
  <c r="R7" i="8"/>
  <c r="A8" i="14" s="1"/>
  <c r="R12" i="8"/>
  <c r="R8" i="8"/>
  <c r="X7" i="8" s="1"/>
  <c r="P33" i="13"/>
  <c r="P35" i="13" s="1"/>
  <c r="G13" i="1" s="1"/>
  <c r="P20" i="1" s="1"/>
  <c r="P32" i="11"/>
  <c r="P29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30" i="11"/>
  <c r="P31" i="11"/>
  <c r="P33" i="11"/>
  <c r="P34" i="11"/>
  <c r="P35" i="11"/>
  <c r="P5" i="11"/>
  <c r="X8" i="8" l="1"/>
  <c r="Y16" i="8"/>
  <c r="Y15" i="8"/>
  <c r="T1" i="11"/>
  <c r="Y14" i="8"/>
  <c r="Y12" i="8"/>
  <c r="T1" i="17"/>
  <c r="T1" i="20"/>
  <c r="T1" i="15"/>
  <c r="T1" i="13"/>
  <c r="AA1" i="16"/>
  <c r="AA1" i="8"/>
  <c r="AA1" i="20"/>
  <c r="AA1" i="15"/>
  <c r="AA1" i="18"/>
  <c r="AA1" i="13"/>
  <c r="AA1" i="17"/>
  <c r="AA1" i="11"/>
  <c r="AA1" i="1"/>
  <c r="AH3" i="16"/>
  <c r="AP9" i="15"/>
  <c r="G16" i="1" s="1"/>
  <c r="P36" i="11"/>
  <c r="G12" i="1" s="1"/>
  <c r="I5" i="1"/>
  <c r="I6" i="1"/>
  <c r="I7" i="1"/>
  <c r="I8" i="1"/>
  <c r="H5" i="1"/>
  <c r="H6" i="1"/>
  <c r="H7" i="1"/>
  <c r="H8" i="1"/>
  <c r="J9" i="1"/>
  <c r="K9" i="1"/>
  <c r="D14" i="8" s="1"/>
  <c r="L9" i="1"/>
  <c r="Y11" i="1" s="1"/>
  <c r="I4" i="1"/>
  <c r="H4" i="1"/>
  <c r="G5" i="1"/>
  <c r="G6" i="1"/>
  <c r="G7" i="1"/>
  <c r="G8" i="1"/>
  <c r="G4" i="1"/>
  <c r="P48" i="6"/>
  <c r="P49" i="6" s="1"/>
  <c r="P50" i="6" s="1"/>
  <c r="P51" i="6" s="1"/>
  <c r="P52" i="6" s="1"/>
  <c r="K46" i="6"/>
  <c r="I46" i="6"/>
  <c r="M45" i="6"/>
  <c r="M46" i="6" s="1"/>
  <c r="L45" i="6"/>
  <c r="L46" i="6" s="1"/>
  <c r="K45" i="6"/>
  <c r="J45" i="6"/>
  <c r="J46" i="6" s="1"/>
  <c r="I45" i="6"/>
  <c r="H45" i="6"/>
  <c r="H46" i="6" s="1"/>
  <c r="G45" i="6"/>
  <c r="G46" i="6" s="1"/>
  <c r="G47" i="6" s="1"/>
  <c r="F45" i="6"/>
  <c r="F46" i="6" s="1"/>
  <c r="E45" i="6"/>
  <c r="E46" i="6" s="1"/>
  <c r="D45" i="6"/>
  <c r="D46" i="6" s="1"/>
  <c r="K47" i="6" s="1"/>
  <c r="C45" i="6"/>
  <c r="P43" i="6"/>
  <c r="P44" i="6" s="1"/>
  <c r="P45" i="6" s="1"/>
  <c r="P46" i="6" s="1"/>
  <c r="P47" i="6" s="1"/>
  <c r="K31" i="6"/>
  <c r="AL30" i="6"/>
  <c r="AH30" i="6"/>
  <c r="W30" i="6"/>
  <c r="S30" i="6"/>
  <c r="J30" i="6"/>
  <c r="K30" i="6" s="1"/>
  <c r="AN29" i="6"/>
  <c r="AN30" i="6" s="1"/>
  <c r="AM29" i="6"/>
  <c r="AM30" i="6" s="1"/>
  <c r="AM31" i="6" s="1"/>
  <c r="AL29" i="6"/>
  <c r="AK29" i="6"/>
  <c r="AK30" i="6" s="1"/>
  <c r="AJ29" i="6"/>
  <c r="AJ30" i="6" s="1"/>
  <c r="AI29" i="6"/>
  <c r="AH29" i="6"/>
  <c r="AG29" i="6"/>
  <c r="AG30" i="6" s="1"/>
  <c r="AG31" i="6" s="1"/>
  <c r="AF29" i="6"/>
  <c r="AF30" i="6" s="1"/>
  <c r="AE29" i="6"/>
  <c r="AE30" i="6" s="1"/>
  <c r="AD29" i="6"/>
  <c r="Z29" i="6"/>
  <c r="Z30" i="6" s="1"/>
  <c r="Y29" i="6"/>
  <c r="Y30" i="6" s="1"/>
  <c r="X29" i="6"/>
  <c r="X30" i="6" s="1"/>
  <c r="X31" i="6" s="1"/>
  <c r="W29" i="6"/>
  <c r="V29" i="6"/>
  <c r="V30" i="6" s="1"/>
  <c r="U29" i="6"/>
  <c r="U30" i="6" s="1"/>
  <c r="T29" i="6"/>
  <c r="T30" i="6" s="1"/>
  <c r="T31" i="6" s="1"/>
  <c r="S29" i="6"/>
  <c r="R29" i="6"/>
  <c r="R30" i="6" s="1"/>
  <c r="R31" i="6" s="1"/>
  <c r="Q29" i="6"/>
  <c r="Q30" i="6" s="1"/>
  <c r="P29" i="6"/>
  <c r="P30" i="6" s="1"/>
  <c r="O29" i="6"/>
  <c r="I29" i="6"/>
  <c r="J29" i="6" s="1"/>
  <c r="K29" i="6" s="1"/>
  <c r="I28" i="6"/>
  <c r="J28" i="6" s="1"/>
  <c r="K28" i="6" s="1"/>
  <c r="H28" i="6"/>
  <c r="T1" i="8" l="1"/>
  <c r="T1" i="18"/>
  <c r="T1" i="16"/>
  <c r="F17" i="8"/>
  <c r="Y20" i="1"/>
  <c r="Y22" i="1" s="1"/>
  <c r="AG32" i="6"/>
  <c r="Q31" i="6"/>
  <c r="Y31" i="6"/>
  <c r="AJ31" i="6"/>
  <c r="AL31" i="6"/>
  <c r="AL32" i="6" s="1"/>
  <c r="AL33" i="6" s="1"/>
  <c r="AL34" i="6" s="1"/>
  <c r="V31" i="6"/>
  <c r="AK31" i="6"/>
  <c r="S31" i="6"/>
  <c r="S32" i="6" s="1"/>
  <c r="AH31" i="6"/>
  <c r="AH32" i="6" s="1"/>
  <c r="AH33" i="6" s="1"/>
  <c r="H47" i="6"/>
  <c r="U31" i="6"/>
  <c r="U32" i="6" s="1"/>
  <c r="AF31" i="6"/>
  <c r="AM32" i="6" s="1"/>
  <c r="AM33" i="6" s="1"/>
  <c r="AM34" i="6" s="1"/>
  <c r="AN31" i="6"/>
  <c r="AN32" i="6" s="1"/>
  <c r="AN33" i="6" s="1"/>
  <c r="AN34" i="6" s="1"/>
  <c r="W31" i="6"/>
  <c r="Z31" i="6"/>
  <c r="AI30" i="6"/>
  <c r="AI31" i="6" s="1"/>
  <c r="AI32" i="6" s="1"/>
  <c r="T1" i="1"/>
  <c r="T1" i="10"/>
  <c r="G9" i="1"/>
  <c r="D4" i="8" s="1"/>
  <c r="I9" i="1"/>
  <c r="AR5" i="15" s="1"/>
  <c r="H9" i="1"/>
  <c r="AR4" i="15" s="1"/>
  <c r="Y32" i="6"/>
  <c r="W32" i="6"/>
  <c r="V32" i="6"/>
  <c r="Z32" i="6"/>
  <c r="R32" i="6"/>
  <c r="S33" i="6" s="1"/>
  <c r="X32" i="6"/>
  <c r="L47" i="6"/>
  <c r="T32" i="6"/>
  <c r="I47" i="6"/>
  <c r="F47" i="6"/>
  <c r="J47" i="6"/>
  <c r="E47" i="6"/>
  <c r="G48" i="6" s="1"/>
  <c r="M47" i="6"/>
  <c r="R2" i="22" l="1"/>
  <c r="R2" i="23"/>
  <c r="R17" i="8"/>
  <c r="Y13" i="8" s="1"/>
  <c r="O17" i="8"/>
  <c r="O21" i="8" s="1"/>
  <c r="G11" i="1" s="1"/>
  <c r="AI2" i="15"/>
  <c r="AD2" i="15"/>
  <c r="R2" i="20"/>
  <c r="R2" i="16"/>
  <c r="R2" i="8"/>
  <c r="R2" i="13"/>
  <c r="R2" i="15"/>
  <c r="R2" i="17"/>
  <c r="R2" i="11"/>
  <c r="R2" i="18"/>
  <c r="R2" i="10"/>
  <c r="R2" i="1"/>
  <c r="AM35" i="6"/>
  <c r="L48" i="6"/>
  <c r="F48" i="6"/>
  <c r="AK32" i="6"/>
  <c r="AK33" i="6" s="1"/>
  <c r="AK34" i="6" s="1"/>
  <c r="G49" i="6"/>
  <c r="K48" i="6"/>
  <c r="J48" i="6"/>
  <c r="AI33" i="6"/>
  <c r="AI34" i="6" s="1"/>
  <c r="AL35" i="6" s="1"/>
  <c r="AJ32" i="6"/>
  <c r="AJ33" i="6" s="1"/>
  <c r="AJ34" i="6" s="1"/>
  <c r="AJ35" i="6" s="1"/>
  <c r="AM36" i="6" s="1"/>
  <c r="M48" i="6"/>
  <c r="I48" i="6"/>
  <c r="L49" i="6"/>
  <c r="V33" i="6"/>
  <c r="V34" i="6" s="1"/>
  <c r="M49" i="6"/>
  <c r="I49" i="6"/>
  <c r="K49" i="6"/>
  <c r="W33" i="6"/>
  <c r="W34" i="6" s="1"/>
  <c r="H48" i="6"/>
  <c r="H49" i="6" s="1"/>
  <c r="AK35" i="6"/>
  <c r="AN35" i="6"/>
  <c r="U33" i="6"/>
  <c r="U34" i="6" s="1"/>
  <c r="J49" i="6"/>
  <c r="T33" i="6"/>
  <c r="T34" i="6" s="1"/>
  <c r="X33" i="6"/>
  <c r="X34" i="6" s="1"/>
  <c r="Z33" i="6"/>
  <c r="Z34" i="6" s="1"/>
  <c r="Y33" i="6"/>
  <c r="Y34" i="6" s="1"/>
  <c r="Y35" i="6" s="1"/>
  <c r="BN6" i="17" l="1"/>
  <c r="K4" i="17" s="1"/>
  <c r="AA13" i="8"/>
  <c r="AM37" i="6"/>
  <c r="AM38" i="6" s="1"/>
  <c r="K50" i="6"/>
  <c r="Z35" i="6"/>
  <c r="J50" i="6"/>
  <c r="I50" i="6"/>
  <c r="I51" i="6" s="1"/>
  <c r="AK36" i="6"/>
  <c r="L50" i="6"/>
  <c r="H50" i="6"/>
  <c r="M50" i="6"/>
  <c r="M51" i="6" s="1"/>
  <c r="M52" i="6" s="1"/>
  <c r="X35" i="6"/>
  <c r="U35" i="6"/>
  <c r="Z36" i="6" s="1"/>
  <c r="AL36" i="6"/>
  <c r="AL37" i="6" s="1"/>
  <c r="Y36" i="6"/>
  <c r="AN36" i="6"/>
  <c r="AN37" i="6" s="1"/>
  <c r="W35" i="6"/>
  <c r="V35" i="6"/>
  <c r="M53" i="6" l="1"/>
  <c r="M54" i="6" s="1"/>
  <c r="J51" i="6"/>
  <c r="J52" i="6" s="1"/>
  <c r="L51" i="6"/>
  <c r="L52" i="6" s="1"/>
  <c r="L53" i="6" s="1"/>
  <c r="K51" i="6"/>
  <c r="K52" i="6" s="1"/>
  <c r="K53" i="6" s="1"/>
  <c r="Z37" i="6"/>
  <c r="V36" i="6"/>
  <c r="Y37" i="6" s="1"/>
  <c r="X36" i="6"/>
  <c r="X37" i="6" s="1"/>
  <c r="W36" i="6"/>
  <c r="W37" i="6" s="1"/>
  <c r="AN38" i="6"/>
  <c r="AN39" i="6" s="1"/>
  <c r="M55" i="6" l="1"/>
  <c r="L54" i="6"/>
  <c r="Y38" i="6"/>
  <c r="Y39" i="6" s="1"/>
  <c r="X38" i="6"/>
  <c r="Z38" i="6"/>
  <c r="Z39" i="6" l="1"/>
  <c r="Z40" i="6" s="1"/>
  <c r="A6" i="15"/>
  <c r="AE6" i="15"/>
  <c r="AP10" i="15" s="1"/>
  <c r="G17" i="1" s="1"/>
  <c r="P21" i="1" l="1"/>
  <c r="M2" i="22" l="1"/>
  <c r="M2" i="23"/>
  <c r="M2" i="1"/>
  <c r="M2" i="8"/>
  <c r="M2" i="11"/>
  <c r="M2" i="17"/>
  <c r="P22" i="1"/>
  <c r="M2" i="13"/>
  <c r="M2" i="20"/>
  <c r="M2" i="18"/>
  <c r="M2" i="10"/>
  <c r="M2" i="16"/>
  <c r="M2" i="15"/>
  <c r="F2" i="22" l="1"/>
  <c r="F2" i="23"/>
  <c r="F2" i="1"/>
  <c r="F2" i="18"/>
  <c r="F2" i="17"/>
  <c r="F2" i="10"/>
  <c r="F2" i="15"/>
  <c r="F2" i="20"/>
  <c r="F2" i="8"/>
  <c r="F2" i="16"/>
  <c r="F2" i="13"/>
  <c r="F2" i="11"/>
</calcChain>
</file>

<file path=xl/comments1.xml><?xml version="1.0" encoding="utf-8"?>
<comments xmlns="http://schemas.openxmlformats.org/spreadsheetml/2006/main">
  <authors>
    <author>Bittner, Bradley</author>
  </authors>
  <commentList>
    <comment ref="A31" authorId="0">
      <text>
        <r>
          <rPr>
            <sz val="9"/>
            <color indexed="81"/>
            <rFont val="Tahoma"/>
            <family val="2"/>
          </rPr>
          <t>OMG! HIDDEN TEXT!</t>
        </r>
      </text>
    </comment>
  </commentList>
</comments>
</file>

<file path=xl/comments2.xml><?xml version="1.0" encoding="utf-8"?>
<comments xmlns="http://schemas.openxmlformats.org/spreadsheetml/2006/main">
  <authors>
    <author>Bittner, Bradley</author>
  </authors>
  <commentList>
    <comment ref="S18" authorId="0">
      <text>
        <r>
          <rPr>
            <sz val="9"/>
            <color indexed="81"/>
            <rFont val="Tahoma"/>
            <family val="2"/>
          </rPr>
          <t>This is how much your Lifestyle gives you at character creation.
Street: 1d6 x 20¥
Squatter: 2d6 x 40¥
Low: 3d6 x 60¥
Middle: 4d6 x 100¥
High: 5d6 x 500¥
Luxury: 6d6 x 1000¥</t>
        </r>
      </text>
    </comment>
    <comment ref="X18" authorId="0">
      <text>
        <r>
          <rPr>
            <sz val="9"/>
            <color indexed="81"/>
            <rFont val="Tahoma"/>
            <family val="2"/>
          </rPr>
          <t xml:space="preserve">Mark this box with an </t>
        </r>
        <r>
          <rPr>
            <b/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Tahoma"/>
            <family val="2"/>
          </rPr>
          <t xml:space="preserve"> after character creation is finish to apply your lifestyle to your total cash when you start.</t>
        </r>
      </text>
    </comment>
  </commentList>
</comments>
</file>

<file path=xl/comments3.xml><?xml version="1.0" encoding="utf-8"?>
<comments xmlns="http://schemas.openxmlformats.org/spreadsheetml/2006/main">
  <authors>
    <author>Bittner, Bradley</author>
  </authors>
  <commentList>
    <comment ref="R4" authorId="0">
      <text>
        <r>
          <rPr>
            <sz val="9"/>
            <color indexed="81"/>
            <rFont val="Tahoma"/>
            <family val="2"/>
          </rPr>
          <t>Karma spent to remove the Negative Quality.</t>
        </r>
      </text>
    </comment>
    <comment ref="J5" authorId="0">
      <text>
        <r>
          <rPr>
            <sz val="9"/>
            <color indexed="81"/>
            <rFont val="Tahoma"/>
            <family val="2"/>
          </rPr>
          <t>Rank 1 - Mild - 4 Karma
Rank 2 - Moderate - 9 Karma
Rank 3 - Severe - 20 Karma
Rank 4 - Burnout - 25 Karma</t>
        </r>
      </text>
    </comment>
    <comment ref="J6" authorId="0">
      <text>
        <r>
          <rPr>
            <sz val="9"/>
            <color indexed="81"/>
            <rFont val="Tahoma"/>
            <family val="2"/>
          </rPr>
          <t>Rank 1: Uncommon / Mild - 5 Karma
Rank 2: Common / Mild - 10 Karma
Rank 3: Uncommon / Moderate - 10 Karma
Rank 4: Common / Moderate - 15 Karma
Rank 5: Uncommon / Severe - 15 Karma
Rank 6: Common / Severe - 20 Karma
Rank 7: Uncommon / Extreme - 20 Karma
Rank 8: Common / Extreme - 25 Karma</t>
        </r>
      </text>
    </comment>
    <comment ref="J22" authorId="0">
      <text>
        <r>
          <rPr>
            <sz val="9"/>
            <color indexed="81"/>
            <rFont val="Tahoma"/>
            <family val="2"/>
          </rPr>
          <t>Rank 1: Specific / Biased - 3 Karma
Rank 2: Common / Biased - 5 Karma
Rank 3: Specific / Outspoken - 5 Karma
Rank 4: Common / Outspoken - 7 Karma
Rank 5: Specific / Radical - 8 Karma
Rank 6: Common / Radical - 10 Karma</t>
        </r>
      </text>
    </comment>
    <comment ref="J26" authorId="0">
      <text>
        <r>
          <rPr>
            <sz val="9"/>
            <color indexed="81"/>
            <rFont val="Tahoma"/>
            <family val="2"/>
          </rPr>
          <t>Rank 1 - National SIN
Rank 2 - Criminal SIN
Rank 3 - Corporate Limited SIN
Rank 4 - Corporate SIN</t>
        </r>
      </text>
    </comment>
  </commentList>
</comments>
</file>

<file path=xl/comments4.xml><?xml version="1.0" encoding="utf-8"?>
<comments xmlns="http://schemas.openxmlformats.org/spreadsheetml/2006/main">
  <authors>
    <author>Bittner, Bradley</author>
  </authors>
  <commentList>
    <comment ref="A5" authorId="0">
      <text>
        <r>
          <rPr>
            <sz val="9"/>
            <color indexed="81"/>
            <rFont val="Tahoma"/>
            <family val="2"/>
          </rPr>
          <t>Mark the blue box to the left of a skill name with an * if you are buying it with free magical skill points.</t>
        </r>
      </text>
    </comment>
    <comment ref="G5" authorId="0">
      <text>
        <r>
          <rPr>
            <sz val="9"/>
            <color indexed="81"/>
            <rFont val="Tahoma"/>
            <family val="2"/>
          </rPr>
          <t>Mark the black box to the right of a skill group with an * if you are buying it with free magical skill group points.</t>
        </r>
      </text>
    </comment>
  </commentList>
</comments>
</file>

<file path=xl/comments5.xml><?xml version="1.0" encoding="utf-8"?>
<comments xmlns="http://schemas.openxmlformats.org/spreadsheetml/2006/main">
  <authors>
    <author>Bittner, Bradley</author>
  </authors>
  <commentList>
    <comment ref="H5" authorId="0">
      <text>
        <r>
          <rPr>
            <sz val="9"/>
            <color indexed="81"/>
            <rFont val="Tahoma"/>
            <family val="2"/>
          </rPr>
          <t xml:space="preserve">S - Spell
R - Ritual
A - Alchemy
</t>
        </r>
      </text>
    </comment>
  </commentList>
</comments>
</file>

<file path=xl/comments6.xml><?xml version="1.0" encoding="utf-8"?>
<comments xmlns="http://schemas.openxmlformats.org/spreadsheetml/2006/main">
  <authors>
    <author>Bittner, Bradley</author>
  </authors>
  <commentList>
    <comment ref="P4" authorId="0">
      <text>
        <r>
          <rPr>
            <sz val="9"/>
            <color indexed="81"/>
            <rFont val="Tahoma"/>
            <family val="2"/>
          </rPr>
          <t>Only use this if the item has a cost per rating ([Rating]x50¥).</t>
        </r>
      </text>
    </comment>
    <comment ref="BB4" authorId="0">
      <text>
        <r>
          <rPr>
            <sz val="9"/>
            <color indexed="81"/>
            <rFont val="Tahoma"/>
            <family val="2"/>
          </rPr>
          <t>Mark boxes with an X if you have purchased this program for your deck.</t>
        </r>
      </text>
    </comment>
  </commentList>
</comments>
</file>

<file path=xl/comments7.xml><?xml version="1.0" encoding="utf-8"?>
<comments xmlns="http://schemas.openxmlformats.org/spreadsheetml/2006/main">
  <authors>
    <author>Bittner, Bradley</author>
  </authors>
  <commentList>
    <comment ref="S4" authorId="0">
      <text>
        <r>
          <rPr>
            <sz val="9"/>
            <color indexed="81"/>
            <rFont val="Tahoma"/>
            <family val="2"/>
          </rPr>
          <t>Put in Essense listed in the book. The grade selection will adjust how much it actually uses for you.</t>
        </r>
      </text>
    </comment>
  </commentList>
</comments>
</file>

<file path=xl/sharedStrings.xml><?xml version="1.0" encoding="utf-8"?>
<sst xmlns="http://schemas.openxmlformats.org/spreadsheetml/2006/main" count="1324" uniqueCount="590">
  <si>
    <t>A</t>
  </si>
  <si>
    <t>B</t>
  </si>
  <si>
    <t>C</t>
  </si>
  <si>
    <t>D</t>
  </si>
  <si>
    <t>E</t>
  </si>
  <si>
    <t>Priority</t>
  </si>
  <si>
    <t>Attributes</t>
  </si>
  <si>
    <t>Skills</t>
  </si>
  <si>
    <t>Skill Groups</t>
  </si>
  <si>
    <t>Attrib</t>
  </si>
  <si>
    <t>Groups</t>
  </si>
  <si>
    <t>Magic</t>
  </si>
  <si>
    <t>Bonus</t>
  </si>
  <si>
    <t>Resources</t>
  </si>
  <si>
    <t>Starting Karma</t>
  </si>
  <si>
    <t>Qualities: Positive</t>
  </si>
  <si>
    <t>Qualities: Negative</t>
  </si>
  <si>
    <t>Karma to Cash</t>
  </si>
  <si>
    <t>Contacts</t>
  </si>
  <si>
    <t>Magic: Spells</t>
  </si>
  <si>
    <t>Magic: Power Points</t>
  </si>
  <si>
    <t>Magic: Foci Bonding</t>
  </si>
  <si>
    <t>Magic: Initiation</t>
  </si>
  <si>
    <t>Karma Gained</t>
  </si>
  <si>
    <t>White Fields</t>
  </si>
  <si>
    <t>Metatype</t>
  </si>
  <si>
    <t>Magic Type</t>
  </si>
  <si>
    <t>Tradition</t>
  </si>
  <si>
    <t>1. Priorities</t>
  </si>
  <si>
    <t>This contains both Priority choices and my tracker for Karma and Neyun.</t>
  </si>
  <si>
    <t>Extell's Character Builder</t>
  </si>
  <si>
    <t>Website:</t>
  </si>
  <si>
    <t>Version:</t>
  </si>
  <si>
    <t>http://www.extell.us</t>
  </si>
  <si>
    <t>Introduction</t>
  </si>
  <si>
    <t>There are hidden fields in some of these. If you find them, please leave them alone or your will break things.</t>
  </si>
  <si>
    <t>Formula Data</t>
  </si>
  <si>
    <t>Grey Fields</t>
  </si>
  <si>
    <t>These are results of shown calculations for your character sheet</t>
  </si>
  <si>
    <t>Typed Data</t>
  </si>
  <si>
    <t>Blue Fields</t>
  </si>
  <si>
    <t>These are for character generation phase where you will be typing information.</t>
  </si>
  <si>
    <t>Starting Nuyen</t>
  </si>
  <si>
    <t>Karma to Nuyen</t>
  </si>
  <si>
    <t>Expense: Gear</t>
  </si>
  <si>
    <t>Expense: Lifestyle</t>
  </si>
  <si>
    <t>Expense: Cyber/Bio</t>
  </si>
  <si>
    <t>Creation: Lifestyle</t>
  </si>
  <si>
    <t>Gained</t>
  </si>
  <si>
    <t>Total</t>
  </si>
  <si>
    <t>x</t>
  </si>
  <si>
    <t>Total Karma Spent</t>
  </si>
  <si>
    <t>Total Karma Gained</t>
  </si>
  <si>
    <t>Spendable Karma</t>
  </si>
  <si>
    <t>Spendable Karma:</t>
  </si>
  <si>
    <t xml:space="preserve">Neyun: </t>
  </si>
  <si>
    <t>|</t>
  </si>
  <si>
    <t>Karma Spent:</t>
  </si>
  <si>
    <t>2. Attributes</t>
  </si>
  <si>
    <t>5. Active Skills</t>
  </si>
  <si>
    <t>6. Knowledge Skills</t>
  </si>
  <si>
    <t>7. Magic</t>
  </si>
  <si>
    <t>Priorities</t>
  </si>
  <si>
    <t>Magician / Mystic</t>
  </si>
  <si>
    <t>Adept</t>
  </si>
  <si>
    <t>Aspected</t>
  </si>
  <si>
    <t>Technomancer</t>
  </si>
  <si>
    <t>Human</t>
  </si>
  <si>
    <t>Elf</t>
  </si>
  <si>
    <t>Dwarf</t>
  </si>
  <si>
    <t>Ork</t>
  </si>
  <si>
    <t>Troll</t>
  </si>
  <si>
    <t>Skill</t>
  </si>
  <si>
    <t>Sgroups</t>
  </si>
  <si>
    <t>Score</t>
  </si>
  <si>
    <t>R5s</t>
  </si>
  <si>
    <t>R4s</t>
  </si>
  <si>
    <t>R2s</t>
  </si>
  <si>
    <t>R4G</t>
  </si>
  <si>
    <t>R2G</t>
  </si>
  <si>
    <t>Spells</t>
  </si>
  <si>
    <t>Forms</t>
  </si>
  <si>
    <t>Attribute Base/Max</t>
  </si>
  <si>
    <t>Magic/Resonance Lookup</t>
  </si>
  <si>
    <t>Metatype Lookup</t>
  </si>
  <si>
    <t>Bod</t>
  </si>
  <si>
    <t>Agi</t>
  </si>
  <si>
    <t>Rea</t>
  </si>
  <si>
    <t>Str</t>
  </si>
  <si>
    <t>Wil</t>
  </si>
  <si>
    <t>Log</t>
  </si>
  <si>
    <t>Int</t>
  </si>
  <si>
    <t>Cha</t>
  </si>
  <si>
    <t>Edg</t>
  </si>
  <si>
    <t>Magician</t>
  </si>
  <si>
    <t>Mystic Adept</t>
  </si>
  <si>
    <t>Priority Menu</t>
  </si>
  <si>
    <t>Traditions</t>
  </si>
  <si>
    <t>Hermetic</t>
  </si>
  <si>
    <t>Logic</t>
  </si>
  <si>
    <t>Shamanic</t>
  </si>
  <si>
    <t>Charisma</t>
  </si>
  <si>
    <t>Attribute Increase - Karma Cost</t>
  </si>
  <si>
    <t>Active Skill Increase - Karma Cost</t>
  </si>
  <si>
    <t>Active Skill Group Increase - Karma Cost</t>
  </si>
  <si>
    <t>Knowledge / Language Increase - Karma Cost</t>
  </si>
  <si>
    <t>Intiation</t>
  </si>
  <si>
    <t>Lifestyles</t>
  </si>
  <si>
    <t>Foci</t>
  </si>
  <si>
    <t>Bond Cost</t>
  </si>
  <si>
    <t>Street</t>
  </si>
  <si>
    <t>Enchanting</t>
  </si>
  <si>
    <t>Squatter</t>
  </si>
  <si>
    <t>Metamagic</t>
  </si>
  <si>
    <t>Low</t>
  </si>
  <si>
    <t>Power</t>
  </si>
  <si>
    <t>Middle</t>
  </si>
  <si>
    <t>Qi</t>
  </si>
  <si>
    <t>High</t>
  </si>
  <si>
    <t>Spell</t>
  </si>
  <si>
    <t>Luxury</t>
  </si>
  <si>
    <t>Spirit</t>
  </si>
  <si>
    <t>Weapon</t>
  </si>
  <si>
    <t>Ambidextrous</t>
  </si>
  <si>
    <t>Analytical Mind</t>
  </si>
  <si>
    <t>Aptitude</t>
  </si>
  <si>
    <t>Astral Chameleon</t>
  </si>
  <si>
    <t>Bilingual</t>
  </si>
  <si>
    <t>Blandness</t>
  </si>
  <si>
    <t>Catlike</t>
  </si>
  <si>
    <t>Codeslinger</t>
  </si>
  <si>
    <t>Double-Jointed</t>
  </si>
  <si>
    <t>First Impression</t>
  </si>
  <si>
    <t>Focused Concentration</t>
  </si>
  <si>
    <t>Gearhead</t>
  </si>
  <si>
    <t>Guts</t>
  </si>
  <si>
    <t>High Pain Tolerance</t>
  </si>
  <si>
    <t>Home Ground</t>
  </si>
  <si>
    <t>Human-Looking</t>
  </si>
  <si>
    <t>Juryrigger</t>
  </si>
  <si>
    <t>Lucky</t>
  </si>
  <si>
    <t>Mentor Spirit</t>
  </si>
  <si>
    <t>Natural Athlete</t>
  </si>
  <si>
    <t>Natural Hardening</t>
  </si>
  <si>
    <t>Photographic Memory</t>
  </si>
  <si>
    <t>Quick Healer</t>
  </si>
  <si>
    <t>Resistance to Pathogens/Toxins</t>
  </si>
  <si>
    <t>Spirit Affinity</t>
  </si>
  <si>
    <t>Toughness</t>
  </si>
  <si>
    <t>Will to Live</t>
  </si>
  <si>
    <t>Astral Beacon</t>
  </si>
  <si>
    <t>Bad Luck</t>
  </si>
  <si>
    <t>Bad Rep</t>
  </si>
  <si>
    <t>Code of Honor</t>
  </si>
  <si>
    <t>Codeblock</t>
  </si>
  <si>
    <t>Combat Paralyisis</t>
  </si>
  <si>
    <t>Dependents</t>
  </si>
  <si>
    <t>Distinctive Style</t>
  </si>
  <si>
    <t>Elf Poser</t>
  </si>
  <si>
    <t>Gremlins</t>
  </si>
  <si>
    <t>Incompetent</t>
  </si>
  <si>
    <t>Loss of Confidence</t>
  </si>
  <si>
    <t>Low Pain Tolerance</t>
  </si>
  <si>
    <t>Ork Poser</t>
  </si>
  <si>
    <t>Scorched</t>
  </si>
  <si>
    <t>Sensitive System</t>
  </si>
  <si>
    <t>Simsense Vertigo</t>
  </si>
  <si>
    <t>Social Stress</t>
  </si>
  <si>
    <t>Spirit Bane</t>
  </si>
  <si>
    <t>Uncouth</t>
  </si>
  <si>
    <t>Uneducated</t>
  </si>
  <si>
    <t>Unsteady Hands</t>
  </si>
  <si>
    <t>Weak Immune System</t>
  </si>
  <si>
    <t>Misc</t>
  </si>
  <si>
    <t xml:space="preserve">Best at Resolution: </t>
  </si>
  <si>
    <t>Drain Attribute</t>
  </si>
  <si>
    <t>Edge</t>
  </si>
  <si>
    <t>3. Qualities-Positive</t>
  </si>
  <si>
    <t>4. Qualities-Negative</t>
  </si>
  <si>
    <t>8. Gear</t>
  </si>
  <si>
    <t>Exceptonal Attribute</t>
  </si>
  <si>
    <t>Indomitable</t>
  </si>
  <si>
    <t>Magical Resistance</t>
  </si>
  <si>
    <t>Natural Immunity</t>
  </si>
  <si>
    <t>Ranks</t>
  </si>
  <si>
    <t>Max</t>
  </si>
  <si>
    <t>C(pR)</t>
  </si>
  <si>
    <t>Cost (per Rank) - If it has an amount an item costs per rating or rank put that, else just put in the full amount of the item without putting in the rank/rating of the item</t>
  </si>
  <si>
    <t>4,8</t>
  </si>
  <si>
    <t>Attribute:</t>
  </si>
  <si>
    <t>Body</t>
  </si>
  <si>
    <t>Agility</t>
  </si>
  <si>
    <t>Reaction</t>
  </si>
  <si>
    <t>Strength</t>
  </si>
  <si>
    <t>Willpower</t>
  </si>
  <si>
    <t>Intuition</t>
  </si>
  <si>
    <t>CP</t>
  </si>
  <si>
    <t>Karma</t>
  </si>
  <si>
    <t>These will open lists for you to pick from when clicked on.</t>
  </si>
  <si>
    <t>Choice Data</t>
  </si>
  <si>
    <t>Green Fields</t>
  </si>
  <si>
    <t>Karma Data</t>
  </si>
  <si>
    <t>Like the Blue Fields but for post character generation. These usually spend Karma when you put data in the field.</t>
  </si>
  <si>
    <t>Min</t>
  </si>
  <si>
    <t>Aug</t>
  </si>
  <si>
    <t>Positive Qualitiy Name</t>
  </si>
  <si>
    <t>Negative Qualitiy Name</t>
  </si>
  <si>
    <t xml:space="preserve">Skill: </t>
  </si>
  <si>
    <t>Addiction</t>
  </si>
  <si>
    <t>Spec</t>
  </si>
  <si>
    <t>Allergy</t>
  </si>
  <si>
    <t>Insomnia</t>
  </si>
  <si>
    <t>10,15</t>
  </si>
  <si>
    <t>Prejudiced</t>
  </si>
  <si>
    <t>SINner</t>
  </si>
  <si>
    <t>Addiction:</t>
  </si>
  <si>
    <t xml:space="preserve">Allergy: </t>
  </si>
  <si>
    <t>Prejudiced:</t>
  </si>
  <si>
    <t>Style:</t>
  </si>
  <si>
    <t>Type:</t>
  </si>
  <si>
    <t xml:space="preserve">Mentor: </t>
  </si>
  <si>
    <t xml:space="preserve">Type: </t>
  </si>
  <si>
    <t>Spirit of Air</t>
  </si>
  <si>
    <t>Spirit of Earth</t>
  </si>
  <si>
    <t>Spirit of Fire</t>
  </si>
  <si>
    <t>Spirit of Water</t>
  </si>
  <si>
    <t>Spirit of Beast</t>
  </si>
  <si>
    <t>Spirit of Man</t>
  </si>
  <si>
    <t>Spirit Types</t>
  </si>
  <si>
    <t>BuyOff</t>
  </si>
  <si>
    <t>Metatype:</t>
  </si>
  <si>
    <t>Points</t>
  </si>
  <si>
    <t>Cost</t>
  </si>
  <si>
    <t>Karma Bought</t>
  </si>
  <si>
    <t>Resonance</t>
  </si>
  <si>
    <t>0. Sheet</t>
  </si>
  <si>
    <t>Character Name</t>
  </si>
  <si>
    <t>Alias</t>
  </si>
  <si>
    <t>Alias:</t>
  </si>
  <si>
    <t>Street Cred:</t>
  </si>
  <si>
    <t>Notoriety:</t>
  </si>
  <si>
    <t>Public Aware.:</t>
  </si>
  <si>
    <t>Notoriety Gained</t>
  </si>
  <si>
    <t>Public Awareness</t>
  </si>
  <si>
    <t>Essence:</t>
  </si>
  <si>
    <t>Essence</t>
  </si>
  <si>
    <t>Gender</t>
  </si>
  <si>
    <t>Street Cred to Noto.</t>
  </si>
  <si>
    <t>Biotech</t>
  </si>
  <si>
    <t>Close Combat</t>
  </si>
  <si>
    <t>Conjuring</t>
  </si>
  <si>
    <t>Cracking</t>
  </si>
  <si>
    <t>Electronics</t>
  </si>
  <si>
    <t>Firearms</t>
  </si>
  <si>
    <t>Influence</t>
  </si>
  <si>
    <t>Engineering</t>
  </si>
  <si>
    <t>Outdoors</t>
  </si>
  <si>
    <t>Sorcery</t>
  </si>
  <si>
    <t>Stealth</t>
  </si>
  <si>
    <t>Tasking</t>
  </si>
  <si>
    <t>Con</t>
  </si>
  <si>
    <t>Impersonation</t>
  </si>
  <si>
    <t>Performance</t>
  </si>
  <si>
    <t>Gymnastics</t>
  </si>
  <si>
    <t>Running</t>
  </si>
  <si>
    <t>Swimming</t>
  </si>
  <si>
    <t>Cybercombat</t>
  </si>
  <si>
    <t>First Aid</t>
  </si>
  <si>
    <t>Medicine</t>
  </si>
  <si>
    <t>Blades</t>
  </si>
  <si>
    <t>Clubs</t>
  </si>
  <si>
    <t>Unarmed</t>
  </si>
  <si>
    <t>Banishing</t>
  </si>
  <si>
    <t>Binding</t>
  </si>
  <si>
    <t>Summoning</t>
  </si>
  <si>
    <t>Cybertechnology</t>
  </si>
  <si>
    <t>Electronic Warfare</t>
  </si>
  <si>
    <t>Hacking</t>
  </si>
  <si>
    <t>Computer</t>
  </si>
  <si>
    <t>Hardware</t>
  </si>
  <si>
    <t>Software</t>
  </si>
  <si>
    <t>Alchemy</t>
  </si>
  <si>
    <t>Artificing</t>
  </si>
  <si>
    <t>Disenchanting</t>
  </si>
  <si>
    <t>Automatics</t>
  </si>
  <si>
    <t>Longarms</t>
  </si>
  <si>
    <t>Pistols</t>
  </si>
  <si>
    <t>Etiquette</t>
  </si>
  <si>
    <t>Leadership</t>
  </si>
  <si>
    <t>Negotiation</t>
  </si>
  <si>
    <t>Aeronautics Mechanic</t>
  </si>
  <si>
    <t>Automotive Mechanic</t>
  </si>
  <si>
    <t>Industrial Mechanic</t>
  </si>
  <si>
    <t>Nautical Mechanic</t>
  </si>
  <si>
    <t>Navigation</t>
  </si>
  <si>
    <t>Survival</t>
  </si>
  <si>
    <t>Tracking</t>
  </si>
  <si>
    <t>Counterspelling</t>
  </si>
  <si>
    <t>Ritual Spellcasting</t>
  </si>
  <si>
    <t>Spellcasting</t>
  </si>
  <si>
    <t>Disguise</t>
  </si>
  <si>
    <t>Palming</t>
  </si>
  <si>
    <t>Sneaking</t>
  </si>
  <si>
    <t>Compiling</t>
  </si>
  <si>
    <t>Decompiling</t>
  </si>
  <si>
    <t>Registering</t>
  </si>
  <si>
    <t>Archery</t>
  </si>
  <si>
    <t>Escape Artist</t>
  </si>
  <si>
    <t>Exotic Melee Weapon</t>
  </si>
  <si>
    <t>Exotic Ranged Weapon</t>
  </si>
  <si>
    <t>Gunnery</t>
  </si>
  <si>
    <t>Heavy Weapons</t>
  </si>
  <si>
    <t>Throwing Weapons</t>
  </si>
  <si>
    <t>Diving</t>
  </si>
  <si>
    <t>Free-Fall</t>
  </si>
  <si>
    <t>Pilot Aerospace</t>
  </si>
  <si>
    <t>Pilot Aircraft</t>
  </si>
  <si>
    <t>Pilot Exotic Vehicle</t>
  </si>
  <si>
    <t>Pilot Ground Craft</t>
  </si>
  <si>
    <t>Pilot Walker</t>
  </si>
  <si>
    <t>Pilot Watercraft</t>
  </si>
  <si>
    <t>Animal Handling</t>
  </si>
  <si>
    <t>Instruction</t>
  </si>
  <si>
    <t>Intimidation</t>
  </si>
  <si>
    <t>Arcana</t>
  </si>
  <si>
    <t>Armorer</t>
  </si>
  <si>
    <t>Biotechnology</t>
  </si>
  <si>
    <t>Chemistry</t>
  </si>
  <si>
    <t>Demolitions</t>
  </si>
  <si>
    <t>Forgery</t>
  </si>
  <si>
    <t>Astral Combat</t>
  </si>
  <si>
    <t>|-------------------Character Creation-------------------|</t>
  </si>
  <si>
    <t>|--------------------Karma Purchased--------------------|</t>
  </si>
  <si>
    <t>Rating</t>
  </si>
  <si>
    <t>Specializations</t>
  </si>
  <si>
    <t>Athlectics</t>
  </si>
  <si>
    <t>Artisan</t>
  </si>
  <si>
    <t>Assensing</t>
  </si>
  <si>
    <t>Perception</t>
  </si>
  <si>
    <t>|------------------Character Creation------------------|</t>
  </si>
  <si>
    <t>N</t>
  </si>
  <si>
    <t>Language:</t>
  </si>
  <si>
    <t>Type</t>
  </si>
  <si>
    <t>Unarmed Combat</t>
  </si>
  <si>
    <t>Locksmith</t>
  </si>
  <si>
    <t>of</t>
  </si>
  <si>
    <t>Skill Group Points</t>
  </si>
  <si>
    <t>Skill Points</t>
  </si>
  <si>
    <t>Karma Spent on Skills</t>
  </si>
  <si>
    <t>Skill Priority</t>
  </si>
  <si>
    <t>Magic Priority</t>
  </si>
  <si>
    <t>Free Rating 2 Groups</t>
  </si>
  <si>
    <t>Free Rating 4 Groups</t>
  </si>
  <si>
    <t>Free Rating 5 Skills</t>
  </si>
  <si>
    <t>Free Rating 4 Skills</t>
  </si>
  <si>
    <t>Free Rating 2 Skills</t>
  </si>
  <si>
    <t>Foci Bonding</t>
  </si>
  <si>
    <t>Speciality</t>
  </si>
  <si>
    <t>Focus Item</t>
  </si>
  <si>
    <t>Multi</t>
  </si>
  <si>
    <t>Force</t>
  </si>
  <si>
    <t>Initiation</t>
  </si>
  <si>
    <t>Initiate Grade</t>
  </si>
  <si>
    <t>Metamagics</t>
  </si>
  <si>
    <t>Adept Centering</t>
  </si>
  <si>
    <t>Centering</t>
  </si>
  <si>
    <t>Fixation</t>
  </si>
  <si>
    <t>Flexable Signature</t>
  </si>
  <si>
    <t>Masking</t>
  </si>
  <si>
    <t>Power Point</t>
  </si>
  <si>
    <t>Quickening</t>
  </si>
  <si>
    <t>Spell Shaping</t>
  </si>
  <si>
    <t>Shielding</t>
  </si>
  <si>
    <t>Item</t>
  </si>
  <si>
    <t>Num</t>
  </si>
  <si>
    <t>Item(s) Cost</t>
  </si>
  <si>
    <t>Licenses</t>
  </si>
  <si>
    <t>SIN</t>
  </si>
  <si>
    <t>Mnths</t>
  </si>
  <si>
    <t>Expense: SIN/License</t>
  </si>
  <si>
    <t>Total Spent</t>
  </si>
  <si>
    <t>Total Gained</t>
  </si>
  <si>
    <t>9. Augmentation</t>
  </si>
  <si>
    <t>Buy your Cyber and Bioware here.</t>
  </si>
  <si>
    <t>Cyberwear</t>
  </si>
  <si>
    <t>Ess.</t>
  </si>
  <si>
    <t>Item Cost</t>
  </si>
  <si>
    <t>Bioware</t>
  </si>
  <si>
    <t>Essence Cost</t>
  </si>
  <si>
    <t>Contact Name</t>
  </si>
  <si>
    <t>Profession</t>
  </si>
  <si>
    <t>Conn.</t>
  </si>
  <si>
    <t>Loyal.</t>
  </si>
  <si>
    <t>Favor</t>
  </si>
  <si>
    <t>Increase your attributes</t>
  </si>
  <si>
    <t>Gain Positive Qualities</t>
  </si>
  <si>
    <t>Gain Negative Qualities</t>
  </si>
  <si>
    <t>Increase your skills</t>
  </si>
  <si>
    <t>Inscrease your knowledge</t>
  </si>
  <si>
    <t>Spells, Alchemical Preperations, Initiation, Adept Powers, Rituals, Foci</t>
  </si>
  <si>
    <t>Buy non-cyber/bioware</t>
  </si>
  <si>
    <t>Who you know (and how well you know them)</t>
  </si>
  <si>
    <t>Abbreviations and Notes used in this document</t>
  </si>
  <si>
    <t>Mouse over boxes with the red notch in the upper right to get more info about what you need to do in these areas</t>
  </si>
  <si>
    <t>This will be a printable Character Sheet created from the data you fill out in this spreadsheet (its turning into a headache and I might abandon it telling you to just print and fill out my custom character sheets)</t>
  </si>
  <si>
    <t>1920 x 1080</t>
  </si>
  <si>
    <t>My Custom Character Sheets:</t>
  </si>
  <si>
    <t>http://www.extell.us/sr/Extells_Character_Sheets.pdf</t>
  </si>
  <si>
    <t>Congratulations, you found out how to open this doc without drooling all over yourself (well, except that spot)</t>
  </si>
  <si>
    <t>The idea behind this document is to have a place to build and maintain your character as you run the shadows</t>
  </si>
  <si>
    <t>It has taken me a few months to get this sheet to a point I really like (Im a bit anal like that)</t>
  </si>
  <si>
    <t>And I think I finally have it ready for testing.</t>
  </si>
  <si>
    <t>Name:</t>
  </si>
  <si>
    <t>Visible Tabs (Yes, there are hidden ones, leave them alone)</t>
  </si>
  <si>
    <t>Grade</t>
  </si>
  <si>
    <t>Standard</t>
  </si>
  <si>
    <t>Augmentation Grades</t>
  </si>
  <si>
    <t>Alphaware</t>
  </si>
  <si>
    <t>Betaware</t>
  </si>
  <si>
    <t>Deltaware</t>
  </si>
  <si>
    <t>Used</t>
  </si>
  <si>
    <t>Mult.</t>
  </si>
  <si>
    <t>Limits</t>
  </si>
  <si>
    <t>Physical</t>
  </si>
  <si>
    <t>Mental</t>
  </si>
  <si>
    <t>Social</t>
  </si>
  <si>
    <t>Initiatives</t>
  </si>
  <si>
    <t>Normal</t>
  </si>
  <si>
    <t>+</t>
  </si>
  <si>
    <t>1d6</t>
  </si>
  <si>
    <t>Astral</t>
  </si>
  <si>
    <t>Matrix AR</t>
  </si>
  <si>
    <t>Matrix VR Cold</t>
  </si>
  <si>
    <t>Data Processing + 3d6</t>
  </si>
  <si>
    <t>Matrix VR Hot</t>
  </si>
  <si>
    <t>Data Processing + 4d6</t>
  </si>
  <si>
    <t>Action:</t>
  </si>
  <si>
    <t>Cyberdeck</t>
  </si>
  <si>
    <t>Renraku Tsurugi</t>
  </si>
  <si>
    <t>Programs</t>
  </si>
  <si>
    <t>Armor</t>
  </si>
  <si>
    <t>Fork</t>
  </si>
  <si>
    <t>Attrib. Array:</t>
  </si>
  <si>
    <t>Baby Monitor</t>
  </si>
  <si>
    <t>Guard</t>
  </si>
  <si>
    <t xml:space="preserve">Running Limit: </t>
  </si>
  <si>
    <t>Biofeedback</t>
  </si>
  <si>
    <t>Hammer</t>
  </si>
  <si>
    <t>Agents</t>
  </si>
  <si>
    <t>Biofeedback Filter</t>
  </si>
  <si>
    <t>Lockdown</t>
  </si>
  <si>
    <t>Blackout</t>
  </si>
  <si>
    <t>Mugger</t>
  </si>
  <si>
    <t>Browse</t>
  </si>
  <si>
    <t>Shell</t>
  </si>
  <si>
    <t>Configurator</t>
  </si>
  <si>
    <t>Signal Scrub</t>
  </si>
  <si>
    <t>Decryption</t>
  </si>
  <si>
    <t>Sneak</t>
  </si>
  <si>
    <t>Defuse</t>
  </si>
  <si>
    <t>Demolition</t>
  </si>
  <si>
    <t>Toolbox</t>
  </si>
  <si>
    <t>Edit</t>
  </si>
  <si>
    <t>Track</t>
  </si>
  <si>
    <t>Encryption</t>
  </si>
  <si>
    <t>Virtual Machine</t>
  </si>
  <si>
    <t>Exploit</t>
  </si>
  <si>
    <t>Wrapper</t>
  </si>
  <si>
    <t>Matrix Programs</t>
  </si>
  <si>
    <t>Cyberdecks</t>
  </si>
  <si>
    <t>Attribute Array</t>
  </si>
  <si>
    <t>Progs</t>
  </si>
  <si>
    <t>Erika MCD-1</t>
  </si>
  <si>
    <t>Microdeck Summit</t>
  </si>
  <si>
    <t>Microtrónica Azteca 200</t>
  </si>
  <si>
    <t>Hermes Chariot</t>
  </si>
  <si>
    <t>Novatech Navigator</t>
  </si>
  <si>
    <t>Common</t>
  </si>
  <si>
    <t>Sony CIY-720</t>
  </si>
  <si>
    <t>Shiawase Cyber-5</t>
  </si>
  <si>
    <t>Fairlight Excalibur</t>
  </si>
  <si>
    <t>11. Contacts</t>
  </si>
  <si>
    <t>10. Vehicles</t>
  </si>
  <si>
    <t>Buy Vehicles and Drones</t>
  </si>
  <si>
    <t>Vehicle</t>
  </si>
  <si>
    <t>Harley-Davidson Scorpion</t>
  </si>
  <si>
    <t>Vehicle/Drone</t>
  </si>
  <si>
    <t>4/3</t>
  </si>
  <si>
    <t>3</t>
  </si>
  <si>
    <t>4</t>
  </si>
  <si>
    <t>Dodge Scoot</t>
  </si>
  <si>
    <t>EW</t>
  </si>
  <si>
    <t>Autosofts</t>
  </si>
  <si>
    <t>Costs</t>
  </si>
  <si>
    <t>Vehicle Type</t>
  </si>
  <si>
    <t>Drone</t>
  </si>
  <si>
    <t>Vehicles/Drones</t>
  </si>
  <si>
    <t>V</t>
  </si>
  <si>
    <t>Han</t>
  </si>
  <si>
    <t>Spd</t>
  </si>
  <si>
    <t>Acc</t>
  </si>
  <si>
    <t>Arm</t>
  </si>
  <si>
    <t>Pil</t>
  </si>
  <si>
    <t>Sen</t>
  </si>
  <si>
    <t>Sea</t>
  </si>
  <si>
    <t>Yamaha Growler</t>
  </si>
  <si>
    <t>4/5</t>
  </si>
  <si>
    <t>3/4</t>
  </si>
  <si>
    <t>Suzuki Mirage</t>
  </si>
  <si>
    <t>5/3</t>
  </si>
  <si>
    <t>6</t>
  </si>
  <si>
    <t>C-N Jackrabbit</t>
  </si>
  <si>
    <t>Honda Spirit</t>
  </si>
  <si>
    <t>3/2</t>
  </si>
  <si>
    <t>Hyundai Shin-Hyung</t>
  </si>
  <si>
    <t>5/4</t>
  </si>
  <si>
    <t>Eurocar Westwind 3000</t>
  </si>
  <si>
    <t>6/4</t>
  </si>
  <si>
    <t>7</t>
  </si>
  <si>
    <t>Ford Americar</t>
  </si>
  <si>
    <t>SK-Bentley Concordat</t>
  </si>
  <si>
    <t>5</t>
  </si>
  <si>
    <t>Mitsubishi Nightsky</t>
  </si>
  <si>
    <t>Toyota Gopher</t>
  </si>
  <si>
    <t>5/5</t>
  </si>
  <si>
    <t>GMC Bulldog</t>
  </si>
  <si>
    <t>3/3</t>
  </si>
  <si>
    <t>Rover Model 2072</t>
  </si>
  <si>
    <t>Ares Roadmaster</t>
  </si>
  <si>
    <t>Samuvani Otter</t>
  </si>
  <si>
    <t>Yongkang Gala Trinity</t>
  </si>
  <si>
    <t>Morgan Cutlass</t>
  </si>
  <si>
    <t>Proteus Lamprey</t>
  </si>
  <si>
    <t>2</t>
  </si>
  <si>
    <t>Vulkan Electronaut</t>
  </si>
  <si>
    <t>Artemis Nightwing</t>
  </si>
  <si>
    <t>Cessna C750</t>
  </si>
  <si>
    <t>R-F Fokker Tundra-9</t>
  </si>
  <si>
    <t>Ares Dragon</t>
  </si>
  <si>
    <t>Nissan Hound</t>
  </si>
  <si>
    <t>Northrup Wasp</t>
  </si>
  <si>
    <t>Ares Venture</t>
  </si>
  <si>
    <t>GMC Banshee</t>
  </si>
  <si>
    <t>8</t>
  </si>
  <si>
    <t>Fed-Boing Commuter</t>
  </si>
  <si>
    <t>Shiawase Kanmushi</t>
  </si>
  <si>
    <t>S-B Microskimmer</t>
  </si>
  <si>
    <t>MCT Fly-Spy</t>
  </si>
  <si>
    <t>Horizon Flying Eye</t>
  </si>
  <si>
    <t>Aztechnology Crawler</t>
  </si>
  <si>
    <t>Lockheed Optic-X2</t>
  </si>
  <si>
    <t>Ares Duelist</t>
  </si>
  <si>
    <t>GM-Nissan Doberman</t>
  </si>
  <si>
    <t>MCT-Nissan Roto-Drone</t>
  </si>
  <si>
    <t>C-D Dalmation</t>
  </si>
  <si>
    <t>Steel Lynx</t>
  </si>
  <si>
    <t>Expense: Vehicle</t>
  </si>
  <si>
    <t>Ha</t>
  </si>
  <si>
    <t>Sp</t>
  </si>
  <si>
    <t>Ac</t>
  </si>
  <si>
    <t>Bo</t>
  </si>
  <si>
    <t>Ar</t>
  </si>
  <si>
    <t>Pi</t>
  </si>
  <si>
    <t>Se</t>
  </si>
  <si>
    <t>Sn</t>
  </si>
  <si>
    <t>St</t>
  </si>
  <si>
    <t>Cl</t>
  </si>
  <si>
    <t>Ev</t>
  </si>
  <si>
    <t>Ma</t>
  </si>
  <si>
    <t>Ta</t>
  </si>
  <si>
    <t>Rigger Command Console</t>
  </si>
  <si>
    <t>RCC</t>
  </si>
  <si>
    <t>Lone Star Remote Commander</t>
  </si>
  <si>
    <t>DP</t>
  </si>
  <si>
    <t>FW</t>
  </si>
  <si>
    <t>Scratch-Built Junk</t>
  </si>
  <si>
    <t>Radio Shack Remote Controller</t>
  </si>
  <si>
    <t>Essy Motors DroneMaster</t>
  </si>
  <si>
    <t>CompuForce TaskMaster</t>
  </si>
  <si>
    <t>Maersk Spider</t>
  </si>
  <si>
    <t>Maser Industrial Electronics</t>
  </si>
  <si>
    <t>Vulcan Liegelord</t>
  </si>
  <si>
    <t>Proteus Poseidon</t>
  </si>
  <si>
    <t>MCT Drone Web</t>
  </si>
  <si>
    <t>Triox UberMensch</t>
  </si>
  <si>
    <t>DataP.</t>
  </si>
  <si>
    <t>FireW</t>
  </si>
  <si>
    <t>This is a work in progress
And the hardest part of this doc.
Its been wiped and recreated WAY to many times.
Just the "Character Name" has any function.</t>
  </si>
  <si>
    <t>Orange Fields</t>
  </si>
  <si>
    <t>0.3.2.1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</si>
</sst>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 [$¥-804]* #,##0_ ;_ [$¥-804]* \-#,##0_ ;_ [$¥-804]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/>
    <xf numFmtId="0" fontId="1" fillId="5" borderId="0" xfId="0" applyFont="1" applyFill="1" applyAlignment="1">
      <alignment textRotation="90"/>
    </xf>
    <xf numFmtId="0" fontId="1" fillId="5" borderId="0" xfId="0" applyFont="1" applyFill="1"/>
    <xf numFmtId="0" fontId="1" fillId="5" borderId="1" xfId="0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1" fillId="5" borderId="0" xfId="0" applyFont="1" applyFill="1"/>
    <xf numFmtId="0" fontId="5" fillId="2" borderId="1" xfId="0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5" fillId="0" borderId="0" xfId="0" applyFont="1" applyFill="1"/>
    <xf numFmtId="0" fontId="1" fillId="5" borderId="0" xfId="0" applyFont="1" applyFill="1" applyAlignment="1">
      <alignment horizontal="left"/>
    </xf>
    <xf numFmtId="164" fontId="1" fillId="5" borderId="0" xfId="2" applyNumberFormat="1" applyFont="1" applyFill="1"/>
    <xf numFmtId="0" fontId="1" fillId="5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5" borderId="2" xfId="0" applyFont="1" applyFill="1" applyBorder="1" applyAlignment="1">
      <alignment horizontal="left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0" xfId="0" applyAlignment="1">
      <alignment horizontal="left" textRotation="9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Fill="1" applyBorder="1" applyAlignment="1"/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" fillId="5" borderId="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6" borderId="1" xfId="0" applyFont="1" applyFill="1" applyBorder="1"/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164" fontId="1" fillId="5" borderId="0" xfId="2" applyNumberFormat="1" applyFont="1" applyFill="1"/>
    <xf numFmtId="0" fontId="1" fillId="5" borderId="0" xfId="0" applyFont="1" applyFill="1"/>
    <xf numFmtId="0" fontId="1" fillId="5" borderId="0" xfId="0" applyFont="1" applyFill="1" applyAlignment="1"/>
    <xf numFmtId="0" fontId="1" fillId="5" borderId="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5" borderId="0" xfId="0" applyFill="1"/>
    <xf numFmtId="0" fontId="1" fillId="5" borderId="14" xfId="0" applyFont="1" applyFill="1" applyBorder="1" applyAlignment="1">
      <alignment horizontal="center"/>
    </xf>
    <xf numFmtId="0" fontId="0" fillId="0" borderId="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5" borderId="0" xfId="0" applyFill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/>
    <xf numFmtId="0" fontId="0" fillId="5" borderId="1" xfId="0" applyFill="1" applyBorder="1" applyAlignment="1">
      <alignment horizontal="left"/>
    </xf>
    <xf numFmtId="0" fontId="8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165" fontId="1" fillId="5" borderId="0" xfId="2" applyNumberFormat="1" applyFont="1" applyFill="1" applyAlignment="1">
      <alignment horizontal="center"/>
    </xf>
    <xf numFmtId="165" fontId="1" fillId="5" borderId="0" xfId="2" applyNumberFormat="1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1" fillId="5" borderId="0" xfId="0" applyFont="1" applyFill="1" applyAlignment="1"/>
    <xf numFmtId="0" fontId="5" fillId="0" borderId="0" xfId="0" applyFont="1"/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5" borderId="0" xfId="0" applyFont="1" applyFill="1" applyBorder="1" applyAlignment="1"/>
    <xf numFmtId="0" fontId="0" fillId="5" borderId="0" xfId="0" applyFill="1"/>
    <xf numFmtId="0" fontId="1" fillId="5" borderId="0" xfId="0" applyFont="1" applyFill="1" applyAlignment="1">
      <alignment horizontal="left"/>
    </xf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1" fillId="5" borderId="15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0" fillId="5" borderId="0" xfId="0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0" xfId="2" applyNumberFormat="1" applyFont="1" applyFill="1" applyBorder="1" applyAlignment="1"/>
    <xf numFmtId="4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6" xfId="0" applyFont="1" applyBorder="1" applyAlignment="1"/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5" borderId="1" xfId="0" applyFont="1" applyFill="1" applyBorder="1"/>
    <xf numFmtId="0" fontId="0" fillId="0" borderId="1" xfId="0" applyBorder="1" applyAlignment="1">
      <alignment horizontal="center"/>
    </xf>
    <xf numFmtId="0" fontId="1" fillId="5" borderId="0" xfId="0" applyFont="1" applyFill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/>
    <xf numFmtId="0" fontId="1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/>
    <xf numFmtId="0" fontId="1" fillId="5" borderId="2" xfId="0" applyFont="1" applyFill="1" applyBorder="1" applyAlignment="1">
      <alignment horizontal="left"/>
    </xf>
    <xf numFmtId="0" fontId="1" fillId="5" borderId="0" xfId="0" applyFont="1" applyFill="1"/>
    <xf numFmtId="0" fontId="1" fillId="5" borderId="0" xfId="0" applyFont="1" applyFill="1" applyAlignment="1"/>
    <xf numFmtId="0" fontId="1" fillId="5" borderId="0" xfId="0" applyFont="1" applyFill="1" applyAlignment="1">
      <alignment horizontal="right"/>
    </xf>
    <xf numFmtId="165" fontId="1" fillId="5" borderId="0" xfId="2" applyNumberFormat="1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0" fillId="5" borderId="1" xfId="0" applyFill="1" applyBorder="1"/>
    <xf numFmtId="0" fontId="0" fillId="2" borderId="1" xfId="0" applyFill="1" applyBorder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0" xfId="0" applyFont="1" applyFill="1"/>
    <xf numFmtId="0" fontId="1" fillId="5" borderId="0" xfId="0" applyFont="1" applyFill="1" applyAlignment="1"/>
    <xf numFmtId="0" fontId="1" fillId="5" borderId="0" xfId="0" applyFont="1" applyFill="1" applyAlignment="1">
      <alignment horizontal="right"/>
    </xf>
    <xf numFmtId="165" fontId="1" fillId="5" borderId="0" xfId="2" applyNumberFormat="1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164" fontId="0" fillId="0" borderId="0" xfId="0" applyNumberForma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" fillId="5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4" xfId="0" applyFont="1" applyFill="1" applyBorder="1"/>
    <xf numFmtId="164" fontId="0" fillId="0" borderId="1" xfId="2" applyNumberFormat="1" applyFont="1" applyBorder="1"/>
    <xf numFmtId="0" fontId="0" fillId="3" borderId="8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164" fontId="0" fillId="0" borderId="0" xfId="2" applyNumberFormat="1" applyFont="1" applyBorder="1" applyAlignment="1">
      <alignment horizontal="left"/>
    </xf>
    <xf numFmtId="164" fontId="0" fillId="0" borderId="10" xfId="2" applyNumberFormat="1" applyFont="1" applyBorder="1"/>
    <xf numFmtId="164" fontId="0" fillId="0" borderId="11" xfId="2" applyNumberFormat="1" applyFont="1" applyBorder="1"/>
    <xf numFmtId="164" fontId="0" fillId="0" borderId="12" xfId="2" applyNumberFormat="1" applyFont="1" applyBorder="1"/>
    <xf numFmtId="0" fontId="0" fillId="0" borderId="1" xfId="0" applyFill="1" applyBorder="1" applyAlignment="1">
      <alignment horizontal="center"/>
    </xf>
    <xf numFmtId="0" fontId="1" fillId="5" borderId="0" xfId="0" applyFont="1" applyFill="1" applyAlignment="1"/>
    <xf numFmtId="164" fontId="0" fillId="0" borderId="5" xfId="2" applyNumberFormat="1" applyFont="1" applyBorder="1"/>
    <xf numFmtId="164" fontId="0" fillId="0" borderId="6" xfId="2" applyNumberFormat="1" applyFont="1" applyBorder="1"/>
    <xf numFmtId="164" fontId="0" fillId="0" borderId="7" xfId="2" applyNumberFormat="1" applyFont="1" applyBorder="1"/>
    <xf numFmtId="164" fontId="0" fillId="0" borderId="8" xfId="2" applyNumberFormat="1" applyFont="1" applyBorder="1"/>
    <xf numFmtId="164" fontId="0" fillId="0" borderId="0" xfId="2" applyNumberFormat="1" applyFont="1" applyBorder="1"/>
    <xf numFmtId="164" fontId="0" fillId="0" borderId="9" xfId="2" applyNumberFormat="1" applyFont="1" applyBorder="1"/>
    <xf numFmtId="0" fontId="0" fillId="3" borderId="5" xfId="0" applyFill="1" applyBorder="1"/>
    <xf numFmtId="0" fontId="0" fillId="3" borderId="6" xfId="0" applyFill="1" applyBorder="1"/>
    <xf numFmtId="0" fontId="1" fillId="5" borderId="11" xfId="0" applyFont="1" applyFill="1" applyBorder="1"/>
    <xf numFmtId="0" fontId="1" fillId="5" borderId="0" xfId="0" applyFont="1" applyFill="1" applyAlignment="1">
      <alignment horizontal="right"/>
    </xf>
    <xf numFmtId="164" fontId="0" fillId="2" borderId="1" xfId="2" applyNumberFormat="1" applyFont="1" applyFill="1" applyBorder="1"/>
    <xf numFmtId="164" fontId="0" fillId="6" borderId="1" xfId="2" applyNumberFormat="1" applyFont="1" applyFill="1" applyBorder="1"/>
    <xf numFmtId="0" fontId="1" fillId="5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/>
    <xf numFmtId="164" fontId="0" fillId="0" borderId="13" xfId="0" applyNumberFormat="1" applyBorder="1"/>
    <xf numFmtId="0" fontId="0" fillId="0" borderId="14" xfId="0" applyBorder="1"/>
    <xf numFmtId="0" fontId="0" fillId="0" borderId="15" xfId="0" applyBorder="1"/>
    <xf numFmtId="165" fontId="1" fillId="5" borderId="0" xfId="2" applyNumberFormat="1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5" borderId="6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left"/>
    </xf>
    <xf numFmtId="0" fontId="0" fillId="3" borderId="1" xfId="0" applyFill="1" applyBorder="1"/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5" borderId="1" xfId="0" applyFill="1" applyBorder="1"/>
    <xf numFmtId="0" fontId="1" fillId="5" borderId="11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5" fillId="2" borderId="1" xfId="0" applyFont="1" applyFill="1" applyBorder="1" applyAlignment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2" borderId="13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5" fillId="2" borderId="12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center"/>
    </xf>
    <xf numFmtId="164" fontId="5" fillId="0" borderId="4" xfId="2" applyNumberFormat="1" applyFont="1" applyFill="1" applyBorder="1" applyAlignment="1"/>
    <xf numFmtId="164" fontId="5" fillId="0" borderId="1" xfId="2" applyNumberFormat="1" applyFont="1" applyFill="1" applyBorder="1" applyAlignment="1"/>
    <xf numFmtId="0" fontId="1" fillId="5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41" fontId="0" fillId="0" borderId="1" xfId="2" applyNumberFormat="1" applyFont="1" applyBorder="1"/>
    <xf numFmtId="164" fontId="0" fillId="2" borderId="1" xfId="2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164" fontId="0" fillId="0" borderId="13" xfId="2" applyNumberFormat="1" applyFont="1" applyBorder="1" applyAlignment="1">
      <alignment horizontal="right"/>
    </xf>
    <xf numFmtId="164" fontId="0" fillId="0" borderId="14" xfId="2" applyNumberFormat="1" applyFont="1" applyBorder="1" applyAlignment="1">
      <alignment horizontal="right"/>
    </xf>
    <xf numFmtId="164" fontId="0" fillId="0" borderId="15" xfId="2" applyNumberFormat="1" applyFont="1" applyBorder="1" applyAlignment="1">
      <alignment horizontal="right"/>
    </xf>
    <xf numFmtId="0" fontId="0" fillId="2" borderId="2" xfId="0" applyFill="1" applyBorder="1"/>
    <xf numFmtId="164" fontId="0" fillId="2" borderId="13" xfId="2" applyNumberFormat="1" applyFont="1" applyFill="1" applyBorder="1" applyAlignment="1">
      <alignment horizontal="center"/>
    </xf>
    <xf numFmtId="164" fontId="0" fillId="2" borderId="14" xfId="2" applyNumberFormat="1" applyFont="1" applyFill="1" applyBorder="1" applyAlignment="1">
      <alignment horizontal="center"/>
    </xf>
    <xf numFmtId="164" fontId="0" fillId="2" borderId="15" xfId="2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5" borderId="11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164" fontId="0" fillId="0" borderId="13" xfId="2" applyNumberFormat="1" applyFont="1" applyBorder="1"/>
    <xf numFmtId="164" fontId="0" fillId="0" borderId="14" xfId="2" applyNumberFormat="1" applyFont="1" applyBorder="1"/>
    <xf numFmtId="164" fontId="0" fillId="0" borderId="15" xfId="2" applyNumberFormat="1" applyFont="1" applyBorder="1"/>
    <xf numFmtId="0" fontId="0" fillId="3" borderId="1" xfId="0" applyFill="1" applyBorder="1" applyAlignment="1">
      <alignment horizontal="left"/>
    </xf>
    <xf numFmtId="164" fontId="0" fillId="0" borderId="1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left"/>
    </xf>
    <xf numFmtId="164" fontId="0" fillId="0" borderId="9" xfId="2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10" xfId="2" applyNumberFormat="1" applyFont="1" applyBorder="1" applyAlignment="1">
      <alignment horizontal="left"/>
    </xf>
    <xf numFmtId="164" fontId="0" fillId="0" borderId="11" xfId="2" applyNumberFormat="1" applyFont="1" applyBorder="1" applyAlignment="1">
      <alignment horizontal="left"/>
    </xf>
    <xf numFmtId="164" fontId="0" fillId="0" borderId="12" xfId="2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164" fontId="0" fillId="0" borderId="8" xfId="2" applyNumberFormat="1" applyFont="1" applyBorder="1" applyAlignment="1">
      <alignment horizontal="right"/>
    </xf>
    <xf numFmtId="164" fontId="0" fillId="0" borderId="0" xfId="2" applyNumberFormat="1" applyFont="1" applyBorder="1" applyAlignment="1">
      <alignment horizontal="right"/>
    </xf>
    <xf numFmtId="164" fontId="0" fillId="0" borderId="9" xfId="2" applyNumberFormat="1" applyFont="1" applyBorder="1" applyAlignment="1">
      <alignment horizontal="right"/>
    </xf>
    <xf numFmtId="164" fontId="0" fillId="0" borderId="10" xfId="2" applyNumberFormat="1" applyFont="1" applyBorder="1" applyAlignment="1">
      <alignment horizontal="right"/>
    </xf>
    <xf numFmtId="164" fontId="0" fillId="0" borderId="11" xfId="2" applyNumberFormat="1" applyFont="1" applyBorder="1" applyAlignment="1">
      <alignment horizontal="right"/>
    </xf>
    <xf numFmtId="164" fontId="0" fillId="0" borderId="12" xfId="2" applyNumberFormat="1" applyFont="1" applyBorder="1" applyAlignment="1">
      <alignment horizontal="right"/>
    </xf>
    <xf numFmtId="164" fontId="0" fillId="0" borderId="5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64" fontId="0" fillId="0" borderId="7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164" fontId="0" fillId="0" borderId="10" xfId="2" applyNumberFormat="1" applyFont="1" applyBorder="1" applyAlignment="1">
      <alignment horizontal="center"/>
    </xf>
    <xf numFmtId="164" fontId="0" fillId="0" borderId="11" xfId="2" applyNumberFormat="1" applyFont="1" applyBorder="1" applyAlignment="1">
      <alignment horizontal="center"/>
    </xf>
    <xf numFmtId="164" fontId="0" fillId="0" borderId="12" xfId="2" applyNumberFormat="1" applyFont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5" borderId="5" xfId="0" applyFont="1" applyFill="1" applyBorder="1" applyAlignment="1"/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0" fillId="0" borderId="5" xfId="0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5" fillId="0" borderId="0" xfId="0" applyFont="1" applyFill="1" applyBorder="1"/>
    <xf numFmtId="164" fontId="0" fillId="0" borderId="0" xfId="2" applyNumberFormat="1" applyFont="1" applyAlignment="1">
      <alignment horizontal="left"/>
    </xf>
    <xf numFmtId="0" fontId="1" fillId="5" borderId="0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15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3" tint="0.59996337778862885"/>
        </patternFill>
      </fill>
    </dxf>
    <dxf>
      <font>
        <color theme="0"/>
      </font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  <fill>
        <patternFill>
          <bgColor theme="3" tint="0.59996337778862885"/>
        </patternFill>
      </fill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tell.us/sr/Extells_Character_Sheets.pdf" TargetMode="External"/><Relationship Id="rId1" Type="http://schemas.openxmlformats.org/officeDocument/2006/relationships/hyperlink" Target="http://www.extell.u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1"/>
  <sheetViews>
    <sheetView tabSelected="1" workbookViewId="0">
      <selection activeCell="A3" sqref="A3"/>
    </sheetView>
  </sheetViews>
  <sheetFormatPr defaultColWidth="3.42578125" defaultRowHeight="15" x14ac:dyDescent="0.25"/>
  <cols>
    <col min="1" max="16384" width="3.42578125" style="4"/>
  </cols>
  <sheetData>
    <row r="1" spans="1:37" s="17" customFormat="1" ht="15" customHeight="1" x14ac:dyDescent="0.25">
      <c r="A1" s="211" t="s">
        <v>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6"/>
      <c r="O1" s="16"/>
      <c r="P1" s="16"/>
      <c r="Q1" s="16"/>
      <c r="R1" s="17" t="s">
        <v>32</v>
      </c>
      <c r="U1" s="17" t="s">
        <v>589</v>
      </c>
      <c r="AC1" s="17" t="s">
        <v>174</v>
      </c>
      <c r="AK1" s="17" t="s">
        <v>405</v>
      </c>
    </row>
    <row r="2" spans="1:37" s="17" customFormat="1" ht="15" customHeight="1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6"/>
      <c r="O2" s="16"/>
      <c r="P2" s="16"/>
      <c r="Q2" s="16"/>
      <c r="R2" s="17" t="s">
        <v>31</v>
      </c>
      <c r="U2" s="18" t="s">
        <v>33</v>
      </c>
      <c r="AC2" s="17" t="s">
        <v>406</v>
      </c>
      <c r="AK2" s="18" t="s">
        <v>407</v>
      </c>
    </row>
    <row r="3" spans="1:37" s="17" customFormat="1" ht="15" customHeight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52"/>
      <c r="P3" s="152"/>
      <c r="Q3" s="152"/>
      <c r="U3" s="153"/>
      <c r="AK3" s="153"/>
    </row>
    <row r="4" spans="1:37" s="17" customFormat="1" ht="15" customHeight="1" x14ac:dyDescent="0.25">
      <c r="A4" s="154" t="s">
        <v>409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  <c r="O4" s="152"/>
      <c r="P4" s="152"/>
      <c r="Q4" s="152"/>
      <c r="U4" s="153"/>
      <c r="AK4" s="153"/>
    </row>
    <row r="5" spans="1:37" s="17" customFormat="1" ht="15" customHeight="1" x14ac:dyDescent="0.25">
      <c r="A5" s="154" t="s">
        <v>410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  <c r="O5" s="152"/>
      <c r="P5" s="152"/>
      <c r="Q5" s="152"/>
      <c r="U5" s="153"/>
      <c r="AK5" s="153"/>
    </row>
    <row r="6" spans="1:37" s="17" customFormat="1" ht="15" customHeight="1" x14ac:dyDescent="0.25">
      <c r="A6" s="154" t="s">
        <v>411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52"/>
      <c r="P6" s="152"/>
      <c r="Q6" s="152"/>
      <c r="U6" s="153"/>
      <c r="AK6" s="153"/>
    </row>
    <row r="8" spans="1:37" x14ac:dyDescent="0.25">
      <c r="A8" s="5"/>
      <c r="C8" s="4" t="s">
        <v>24</v>
      </c>
      <c r="N8" s="4" t="s">
        <v>35</v>
      </c>
    </row>
    <row r="9" spans="1:37" x14ac:dyDescent="0.25">
      <c r="A9" s="77"/>
      <c r="C9" s="4" t="s">
        <v>37</v>
      </c>
      <c r="H9" s="4" t="s">
        <v>36</v>
      </c>
      <c r="N9" s="4" t="s">
        <v>38</v>
      </c>
    </row>
    <row r="10" spans="1:37" x14ac:dyDescent="0.25">
      <c r="A10" s="6"/>
      <c r="C10" s="4" t="s">
        <v>40</v>
      </c>
      <c r="H10" s="4" t="s">
        <v>39</v>
      </c>
      <c r="N10" s="4" t="s">
        <v>41</v>
      </c>
    </row>
    <row r="11" spans="1:37" x14ac:dyDescent="0.25">
      <c r="A11" s="7"/>
      <c r="C11" s="4" t="s">
        <v>588</v>
      </c>
      <c r="H11" s="4" t="s">
        <v>199</v>
      </c>
      <c r="N11" s="4" t="s">
        <v>198</v>
      </c>
    </row>
    <row r="12" spans="1:37" x14ac:dyDescent="0.25">
      <c r="A12" s="8"/>
      <c r="C12" s="4" t="s">
        <v>200</v>
      </c>
      <c r="H12" s="4" t="s">
        <v>201</v>
      </c>
      <c r="N12" s="4" t="s">
        <v>202</v>
      </c>
    </row>
    <row r="14" spans="1:37" s="168" customFormat="1" x14ac:dyDescent="0.25">
      <c r="A14" s="168" t="s">
        <v>413</v>
      </c>
    </row>
    <row r="15" spans="1:37" x14ac:dyDescent="0.25">
      <c r="A15" s="4" t="s">
        <v>34</v>
      </c>
      <c r="I15" s="4" t="s">
        <v>408</v>
      </c>
    </row>
    <row r="16" spans="1:37" x14ac:dyDescent="0.25">
      <c r="A16" s="4" t="s">
        <v>235</v>
      </c>
      <c r="I16" s="4" t="s">
        <v>404</v>
      </c>
    </row>
    <row r="17" spans="1:9" x14ac:dyDescent="0.25">
      <c r="A17" s="4" t="s">
        <v>28</v>
      </c>
      <c r="I17" s="4" t="s">
        <v>29</v>
      </c>
    </row>
    <row r="18" spans="1:9" x14ac:dyDescent="0.25">
      <c r="A18" s="15" t="s">
        <v>58</v>
      </c>
      <c r="I18" s="4" t="s">
        <v>394</v>
      </c>
    </row>
    <row r="19" spans="1:9" x14ac:dyDescent="0.25">
      <c r="A19" s="4" t="s">
        <v>177</v>
      </c>
      <c r="I19" s="4" t="s">
        <v>395</v>
      </c>
    </row>
    <row r="20" spans="1:9" x14ac:dyDescent="0.25">
      <c r="A20" s="15" t="s">
        <v>178</v>
      </c>
      <c r="I20" s="4" t="s">
        <v>396</v>
      </c>
    </row>
    <row r="21" spans="1:9" x14ac:dyDescent="0.25">
      <c r="A21" s="15" t="s">
        <v>59</v>
      </c>
      <c r="I21" s="4" t="s">
        <v>397</v>
      </c>
    </row>
    <row r="22" spans="1:9" x14ac:dyDescent="0.25">
      <c r="A22" s="15" t="s">
        <v>60</v>
      </c>
      <c r="I22" s="4" t="s">
        <v>398</v>
      </c>
    </row>
    <row r="23" spans="1:9" x14ac:dyDescent="0.25">
      <c r="A23" s="4" t="s">
        <v>61</v>
      </c>
      <c r="I23" s="4" t="s">
        <v>399</v>
      </c>
    </row>
    <row r="24" spans="1:9" x14ac:dyDescent="0.25">
      <c r="A24" s="4" t="s">
        <v>179</v>
      </c>
      <c r="I24" s="4" t="s">
        <v>400</v>
      </c>
    </row>
    <row r="25" spans="1:9" x14ac:dyDescent="0.25">
      <c r="A25" s="4" t="s">
        <v>382</v>
      </c>
      <c r="I25" s="4" t="s">
        <v>383</v>
      </c>
    </row>
    <row r="26" spans="1:9" x14ac:dyDescent="0.25">
      <c r="A26" s="4" t="s">
        <v>482</v>
      </c>
      <c r="I26" s="4" t="s">
        <v>483</v>
      </c>
    </row>
    <row r="27" spans="1:9" x14ac:dyDescent="0.25">
      <c r="A27" s="4" t="s">
        <v>481</v>
      </c>
      <c r="I27" s="4" t="s">
        <v>401</v>
      </c>
    </row>
    <row r="29" spans="1:9" s="168" customFormat="1" x14ac:dyDescent="0.25">
      <c r="A29" s="168" t="s">
        <v>402</v>
      </c>
    </row>
    <row r="30" spans="1:9" x14ac:dyDescent="0.25">
      <c r="A30" s="4" t="s">
        <v>186</v>
      </c>
      <c r="E30" s="4" t="s">
        <v>187</v>
      </c>
    </row>
    <row r="31" spans="1:9" x14ac:dyDescent="0.25">
      <c r="A31" s="212"/>
      <c r="B31" s="212"/>
      <c r="E31" s="4" t="s">
        <v>403</v>
      </c>
    </row>
  </sheetData>
  <mergeCells count="2">
    <mergeCell ref="A1:M2"/>
    <mergeCell ref="A31:B31"/>
  </mergeCells>
  <hyperlinks>
    <hyperlink ref="U2" r:id="rId1"/>
    <hyperlink ref="AK2" r:id="rId2"/>
  </hyperlinks>
  <pageMargins left="0.7" right="0.7" top="0.75" bottom="0.75" header="0.3" footer="0.3"/>
  <pageSetup orientation="portrait"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55"/>
  <sheetViews>
    <sheetView workbookViewId="0">
      <pane ySplit="2" topLeftCell="A3" activePane="bottomLeft" state="frozen"/>
      <selection pane="bottomLeft" activeCell="A5" sqref="A5:M5"/>
    </sheetView>
  </sheetViews>
  <sheetFormatPr defaultColWidth="3.42578125" defaultRowHeight="15" x14ac:dyDescent="0.25"/>
  <cols>
    <col min="1" max="1" width="3.42578125" style="123"/>
    <col min="2" max="43" width="3.42578125" style="121"/>
    <col min="44" max="45" width="3.42578125" style="121" customWidth="1"/>
    <col min="46" max="16384" width="3.42578125" style="121"/>
  </cols>
  <sheetData>
    <row r="1" spans="1:78" s="124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12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12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12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12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129" t="s">
        <v>56</v>
      </c>
    </row>
    <row r="2" spans="1:78" s="124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12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12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12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129" t="s">
        <v>56</v>
      </c>
      <c r="AJ2" s="129" t="s">
        <v>56</v>
      </c>
    </row>
    <row r="3" spans="1:78" s="133" customFormat="1" x14ac:dyDescent="0.25">
      <c r="A3" s="111"/>
    </row>
    <row r="4" spans="1:78" x14ac:dyDescent="0.25">
      <c r="A4" s="229" t="s">
        <v>373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56" t="s">
        <v>374</v>
      </c>
      <c r="O4" s="256"/>
      <c r="P4" s="256" t="s">
        <v>333</v>
      </c>
      <c r="Q4" s="256"/>
      <c r="R4" s="256" t="s">
        <v>186</v>
      </c>
      <c r="S4" s="256"/>
      <c r="T4" s="256"/>
      <c r="U4" s="325" t="s">
        <v>375</v>
      </c>
      <c r="V4" s="326"/>
      <c r="W4" s="326"/>
      <c r="X4" s="327"/>
      <c r="Z4" s="229" t="s">
        <v>377</v>
      </c>
      <c r="AA4" s="229"/>
      <c r="AB4" s="229"/>
      <c r="AC4" s="229"/>
      <c r="AD4" s="229"/>
      <c r="AE4" s="229"/>
      <c r="AF4" s="229"/>
      <c r="AG4" s="229"/>
      <c r="AH4" s="229"/>
      <c r="AI4" s="229"/>
      <c r="AJ4" s="302" t="s">
        <v>333</v>
      </c>
      <c r="AK4" s="319"/>
      <c r="AL4" s="318" t="s">
        <v>232</v>
      </c>
      <c r="AM4" s="318"/>
      <c r="AN4" s="318"/>
      <c r="AO4" s="318"/>
      <c r="AQ4" s="226" t="s">
        <v>437</v>
      </c>
      <c r="AR4" s="226"/>
      <c r="AS4" s="226"/>
      <c r="AT4" s="226"/>
      <c r="AU4" s="328"/>
      <c r="AV4" s="329"/>
      <c r="AW4" s="329"/>
      <c r="AX4" s="329"/>
      <c r="AY4" s="329"/>
      <c r="AZ4" s="329"/>
      <c r="BA4" s="330"/>
      <c r="BB4" s="226" t="s">
        <v>439</v>
      </c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</row>
    <row r="5" spans="1:78" x14ac:dyDescent="0.25">
      <c r="A5" s="320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2"/>
      <c r="N5" s="227"/>
      <c r="O5" s="227"/>
      <c r="P5" s="227"/>
      <c r="Q5" s="227"/>
      <c r="R5" s="324"/>
      <c r="S5" s="324"/>
      <c r="T5" s="324"/>
      <c r="U5" s="323">
        <f t="shared" ref="U5:U36" si="0">IF(P5&gt;1, (R5*P5)*N5, R5*N5)</f>
        <v>0</v>
      </c>
      <c r="V5" s="323"/>
      <c r="W5" s="323"/>
      <c r="X5" s="323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64"/>
      <c r="AK5" s="264"/>
      <c r="AL5" s="316">
        <f>AJ5*2500</f>
        <v>0</v>
      </c>
      <c r="AM5" s="316"/>
      <c r="AN5" s="316"/>
      <c r="AO5" s="316"/>
      <c r="AQ5" s="226" t="s">
        <v>232</v>
      </c>
      <c r="AR5" s="226"/>
      <c r="AS5" s="226"/>
      <c r="AT5" s="226"/>
      <c r="AU5" s="331">
        <f>IF(ISBLANK(AU4), 0, VLOOKUP(AU4, DATA!X58:AK66, 12, FALSE))</f>
        <v>0</v>
      </c>
      <c r="AV5" s="332"/>
      <c r="AW5" s="332"/>
      <c r="AX5" s="332"/>
      <c r="AY5" s="332"/>
      <c r="AZ5" s="332"/>
      <c r="BA5" s="333"/>
      <c r="BB5" s="229" t="s">
        <v>440</v>
      </c>
      <c r="BC5" s="229"/>
      <c r="BD5" s="229"/>
      <c r="BE5" s="229"/>
      <c r="BF5" s="229"/>
      <c r="BG5" s="169" t="str">
        <f>LEFT(VLOOKUP(BB5,DATA!$Q$58:$U$83, 5, FALSE), 1)</f>
        <v>H</v>
      </c>
      <c r="BH5" s="172"/>
      <c r="BI5" s="229" t="s">
        <v>441</v>
      </c>
      <c r="BJ5" s="229"/>
      <c r="BK5" s="229"/>
      <c r="BL5" s="229"/>
      <c r="BM5" s="229"/>
      <c r="BN5" s="182" t="str">
        <f>LEFT(VLOOKUP(BI5,DATA!$Q$58:$U$83, 5, FALSE), 1)</f>
        <v>H</v>
      </c>
      <c r="BO5" s="170"/>
      <c r="BP5" s="125">
        <f>IF(ISBLANK(BH5),0,IF(BG5="H",250,80))</f>
        <v>0</v>
      </c>
      <c r="BQ5" s="125">
        <f>IF(ISBLANK(BO5),0,IF(BN5="H",250,80))</f>
        <v>0</v>
      </c>
    </row>
    <row r="6" spans="1:78" x14ac:dyDescent="0.25">
      <c r="A6" s="320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2"/>
      <c r="N6" s="227"/>
      <c r="O6" s="227"/>
      <c r="P6" s="227"/>
      <c r="Q6" s="227"/>
      <c r="R6" s="324"/>
      <c r="S6" s="324"/>
      <c r="T6" s="324"/>
      <c r="U6" s="323">
        <f t="shared" si="0"/>
        <v>0</v>
      </c>
      <c r="V6" s="323"/>
      <c r="W6" s="323"/>
      <c r="X6" s="323"/>
      <c r="Z6" s="317" t="s">
        <v>376</v>
      </c>
      <c r="AA6" s="312"/>
      <c r="AB6" s="313"/>
      <c r="AC6" s="313"/>
      <c r="AD6" s="313"/>
      <c r="AE6" s="313"/>
      <c r="AF6" s="313"/>
      <c r="AG6" s="313"/>
      <c r="AH6" s="313"/>
      <c r="AI6" s="313"/>
      <c r="AJ6" s="314"/>
      <c r="AK6" s="314"/>
      <c r="AL6" s="315">
        <f>AJ6*200</f>
        <v>0</v>
      </c>
      <c r="AM6" s="315"/>
      <c r="AN6" s="315"/>
      <c r="AO6" s="315"/>
      <c r="AQ6" s="226" t="s">
        <v>333</v>
      </c>
      <c r="AR6" s="226"/>
      <c r="AS6" s="171" t="e">
        <f>VLOOKUP(AU4, DATA!X58:AK66, 6, FALSE)</f>
        <v>#N/A</v>
      </c>
      <c r="AT6" s="226" t="s">
        <v>442</v>
      </c>
      <c r="AU6" s="226"/>
      <c r="AV6" s="226"/>
      <c r="AW6" s="226"/>
      <c r="AX6" s="171" t="e">
        <f>VLOOKUP($AU$4, DATA!$X$58:$AK$66, 7, FALSE)</f>
        <v>#N/A</v>
      </c>
      <c r="AY6" s="171" t="e">
        <f>VLOOKUP($AU$4, DATA!$X$58:$AK$66, 8, FALSE)</f>
        <v>#N/A</v>
      </c>
      <c r="AZ6" s="171" t="e">
        <f>VLOOKUP($AU$4, DATA!$X$58:$AK$66, 9, FALSE)</f>
        <v>#N/A</v>
      </c>
      <c r="BA6" s="171" t="e">
        <f>VLOOKUP($AU$4, DATA!$X$58:$AK$66, 10, FALSE)</f>
        <v>#N/A</v>
      </c>
      <c r="BB6" s="229" t="s">
        <v>443</v>
      </c>
      <c r="BC6" s="229"/>
      <c r="BD6" s="229"/>
      <c r="BE6" s="229"/>
      <c r="BF6" s="229"/>
      <c r="BG6" s="182" t="str">
        <f>LEFT(VLOOKUP(BB6,DATA!$Q$58:$U$83, 5, FALSE), 1)</f>
        <v>H</v>
      </c>
      <c r="BH6" s="172"/>
      <c r="BI6" s="229" t="s">
        <v>444</v>
      </c>
      <c r="BJ6" s="229"/>
      <c r="BK6" s="229"/>
      <c r="BL6" s="229"/>
      <c r="BM6" s="229"/>
      <c r="BN6" s="182" t="str">
        <f>LEFT(VLOOKUP(BI6,DATA!$Q$58:$U$83, 5, FALSE), 1)</f>
        <v>H</v>
      </c>
      <c r="BO6" s="183"/>
      <c r="BP6" s="125">
        <f t="shared" ref="BP6:BP17" si="1">IF(ISBLANK(BH6),0,IF(BG6="H",250,80))</f>
        <v>0</v>
      </c>
      <c r="BQ6" s="125">
        <f t="shared" ref="BQ6:BQ17" si="2">IF(ISBLANK(BO6),0,IF(BN6="H",250,80))</f>
        <v>0</v>
      </c>
    </row>
    <row r="7" spans="1:78" x14ac:dyDescent="0.25">
      <c r="A7" s="320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2"/>
      <c r="N7" s="227"/>
      <c r="O7" s="227"/>
      <c r="P7" s="227"/>
      <c r="Q7" s="227"/>
      <c r="R7" s="324"/>
      <c r="S7" s="324"/>
      <c r="T7" s="324"/>
      <c r="U7" s="323">
        <f t="shared" si="0"/>
        <v>0</v>
      </c>
      <c r="V7" s="323"/>
      <c r="W7" s="323"/>
      <c r="X7" s="323"/>
      <c r="Z7" s="317"/>
      <c r="AA7" s="312"/>
      <c r="AB7" s="313"/>
      <c r="AC7" s="313"/>
      <c r="AD7" s="313"/>
      <c r="AE7" s="313"/>
      <c r="AF7" s="313"/>
      <c r="AG7" s="313"/>
      <c r="AH7" s="313"/>
      <c r="AI7" s="313"/>
      <c r="AJ7" s="314"/>
      <c r="AK7" s="314"/>
      <c r="AL7" s="315">
        <f t="shared" ref="AL7:AL10" si="3">AJ7*200</f>
        <v>0</v>
      </c>
      <c r="AM7" s="315"/>
      <c r="AN7" s="315"/>
      <c r="AO7" s="315"/>
      <c r="AQ7" s="254" t="s">
        <v>439</v>
      </c>
      <c r="AR7" s="254"/>
      <c r="AS7" s="254"/>
      <c r="AT7" s="254"/>
      <c r="AU7" s="254"/>
      <c r="AV7" s="318" t="s">
        <v>445</v>
      </c>
      <c r="AW7" s="318"/>
      <c r="AX7" s="318"/>
      <c r="AY7" s="318"/>
      <c r="AZ7" s="318"/>
      <c r="BA7" s="184" t="e">
        <f>VLOOKUP(AU4, DATA!X58:AK66, 11, FALSE)</f>
        <v>#N/A</v>
      </c>
      <c r="BB7" s="229" t="s">
        <v>446</v>
      </c>
      <c r="BC7" s="229"/>
      <c r="BD7" s="229"/>
      <c r="BE7" s="229"/>
      <c r="BF7" s="229"/>
      <c r="BG7" s="182" t="str">
        <f>LEFT(VLOOKUP(BB7,DATA!$Q$58:$U$83, 5, FALSE), 1)</f>
        <v>H</v>
      </c>
      <c r="BH7" s="172"/>
      <c r="BI7" s="229" t="s">
        <v>447</v>
      </c>
      <c r="BJ7" s="229"/>
      <c r="BK7" s="229"/>
      <c r="BL7" s="229"/>
      <c r="BM7" s="229"/>
      <c r="BN7" s="182" t="str">
        <f>LEFT(VLOOKUP(BI7,DATA!$Q$58:$U$83, 5, FALSE), 1)</f>
        <v>H</v>
      </c>
      <c r="BO7" s="183"/>
      <c r="BP7" s="125">
        <f t="shared" si="1"/>
        <v>0</v>
      </c>
      <c r="BQ7" s="125">
        <f t="shared" si="2"/>
        <v>0</v>
      </c>
    </row>
    <row r="8" spans="1:78" x14ac:dyDescent="0.25">
      <c r="A8" s="320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227"/>
      <c r="O8" s="227"/>
      <c r="P8" s="227"/>
      <c r="Q8" s="227"/>
      <c r="R8" s="324"/>
      <c r="S8" s="324"/>
      <c r="T8" s="324"/>
      <c r="U8" s="323">
        <f t="shared" si="0"/>
        <v>0</v>
      </c>
      <c r="V8" s="323"/>
      <c r="W8" s="323"/>
      <c r="X8" s="323"/>
      <c r="Z8" s="317"/>
      <c r="AA8" s="312"/>
      <c r="AB8" s="313"/>
      <c r="AC8" s="313"/>
      <c r="AD8" s="313"/>
      <c r="AE8" s="313"/>
      <c r="AF8" s="313"/>
      <c r="AG8" s="313"/>
      <c r="AH8" s="313"/>
      <c r="AI8" s="313"/>
      <c r="AJ8" s="314"/>
      <c r="AK8" s="314"/>
      <c r="AL8" s="315">
        <f t="shared" si="3"/>
        <v>0</v>
      </c>
      <c r="AM8" s="315"/>
      <c r="AN8" s="315"/>
      <c r="AO8" s="315"/>
      <c r="AQ8" s="226" t="s">
        <v>448</v>
      </c>
      <c r="AR8" s="226"/>
      <c r="AS8" s="226"/>
      <c r="AT8" s="226"/>
      <c r="AU8" s="226"/>
      <c r="AV8" s="226"/>
      <c r="AW8" s="226"/>
      <c r="AX8" s="226"/>
      <c r="AY8" s="226"/>
      <c r="AZ8" s="256" t="s">
        <v>333</v>
      </c>
      <c r="BA8" s="256"/>
      <c r="BB8" s="229" t="s">
        <v>449</v>
      </c>
      <c r="BC8" s="229"/>
      <c r="BD8" s="229"/>
      <c r="BE8" s="229"/>
      <c r="BF8" s="229"/>
      <c r="BG8" s="182" t="str">
        <f>LEFT(VLOOKUP(BB8,DATA!$Q$58:$U$83, 5, FALSE), 1)</f>
        <v>H</v>
      </c>
      <c r="BH8" s="172"/>
      <c r="BI8" s="229" t="s">
        <v>450</v>
      </c>
      <c r="BJ8" s="229"/>
      <c r="BK8" s="229"/>
      <c r="BL8" s="229"/>
      <c r="BM8" s="229"/>
      <c r="BN8" s="182" t="str">
        <f>LEFT(VLOOKUP(BI8,DATA!$Q$58:$U$83, 5, FALSE), 1)</f>
        <v>H</v>
      </c>
      <c r="BO8" s="183"/>
      <c r="BP8" s="125">
        <f t="shared" si="1"/>
        <v>0</v>
      </c>
      <c r="BQ8" s="125">
        <f t="shared" si="2"/>
        <v>0</v>
      </c>
    </row>
    <row r="9" spans="1:78" x14ac:dyDescent="0.25">
      <c r="A9" s="320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2"/>
      <c r="N9" s="227"/>
      <c r="O9" s="227"/>
      <c r="P9" s="227"/>
      <c r="Q9" s="227"/>
      <c r="R9" s="324"/>
      <c r="S9" s="324"/>
      <c r="T9" s="324"/>
      <c r="U9" s="323">
        <f t="shared" si="0"/>
        <v>0</v>
      </c>
      <c r="V9" s="323"/>
      <c r="W9" s="323"/>
      <c r="X9" s="323"/>
      <c r="Z9" s="317"/>
      <c r="AA9" s="312"/>
      <c r="AB9" s="313"/>
      <c r="AC9" s="313"/>
      <c r="AD9" s="313"/>
      <c r="AE9" s="313"/>
      <c r="AF9" s="313"/>
      <c r="AG9" s="313"/>
      <c r="AH9" s="313"/>
      <c r="AI9" s="313"/>
      <c r="AJ9" s="314"/>
      <c r="AK9" s="314"/>
      <c r="AL9" s="315">
        <f t="shared" si="3"/>
        <v>0</v>
      </c>
      <c r="AM9" s="315"/>
      <c r="AN9" s="315"/>
      <c r="AO9" s="315"/>
      <c r="AQ9" s="276"/>
      <c r="AR9" s="276"/>
      <c r="AS9" s="276"/>
      <c r="AT9" s="276"/>
      <c r="AU9" s="276"/>
      <c r="AV9" s="276"/>
      <c r="AW9" s="276"/>
      <c r="AX9" s="276"/>
      <c r="AY9" s="276"/>
      <c r="AZ9" s="227"/>
      <c r="BA9" s="227"/>
      <c r="BB9" s="229" t="s">
        <v>451</v>
      </c>
      <c r="BC9" s="229"/>
      <c r="BD9" s="229"/>
      <c r="BE9" s="229"/>
      <c r="BF9" s="229"/>
      <c r="BG9" s="182" t="str">
        <f>LEFT(VLOOKUP(BB9,DATA!$Q$58:$U$83, 5, FALSE), 1)</f>
        <v>H</v>
      </c>
      <c r="BH9" s="172"/>
      <c r="BI9" s="229" t="s">
        <v>452</v>
      </c>
      <c r="BJ9" s="229"/>
      <c r="BK9" s="229"/>
      <c r="BL9" s="229"/>
      <c r="BM9" s="229"/>
      <c r="BN9" s="182" t="str">
        <f>LEFT(VLOOKUP(BI9,DATA!$Q$58:$U$83, 5, FALSE), 1)</f>
        <v>H</v>
      </c>
      <c r="BO9" s="183"/>
      <c r="BP9" s="125">
        <f t="shared" si="1"/>
        <v>0</v>
      </c>
      <c r="BQ9" s="125">
        <f t="shared" si="2"/>
        <v>0</v>
      </c>
      <c r="BR9" s="125">
        <f>IF(ISBLANK(AZ9), 0, IF(AZ9&lt;4, AZ9*1000, AZ9*2000))</f>
        <v>0</v>
      </c>
    </row>
    <row r="10" spans="1:78" x14ac:dyDescent="0.25">
      <c r="A10" s="320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2"/>
      <c r="N10" s="227"/>
      <c r="O10" s="227"/>
      <c r="P10" s="227"/>
      <c r="Q10" s="227"/>
      <c r="R10" s="324"/>
      <c r="S10" s="324"/>
      <c r="T10" s="324"/>
      <c r="U10" s="323">
        <f t="shared" si="0"/>
        <v>0</v>
      </c>
      <c r="V10" s="323"/>
      <c r="W10" s="323"/>
      <c r="X10" s="323"/>
      <c r="Z10" s="317"/>
      <c r="AA10" s="312"/>
      <c r="AB10" s="313"/>
      <c r="AC10" s="313"/>
      <c r="AD10" s="313"/>
      <c r="AE10" s="313"/>
      <c r="AF10" s="313"/>
      <c r="AG10" s="313"/>
      <c r="AH10" s="313"/>
      <c r="AI10" s="313"/>
      <c r="AJ10" s="314"/>
      <c r="AK10" s="314"/>
      <c r="AL10" s="315">
        <f t="shared" si="3"/>
        <v>0</v>
      </c>
      <c r="AM10" s="315"/>
      <c r="AN10" s="315"/>
      <c r="AO10" s="315"/>
      <c r="AQ10" s="276"/>
      <c r="AR10" s="276"/>
      <c r="AS10" s="276"/>
      <c r="AT10" s="276"/>
      <c r="AU10" s="276"/>
      <c r="AV10" s="276"/>
      <c r="AW10" s="276"/>
      <c r="AX10" s="276"/>
      <c r="AY10" s="276"/>
      <c r="AZ10" s="227"/>
      <c r="BA10" s="227"/>
      <c r="BB10" s="229" t="s">
        <v>453</v>
      </c>
      <c r="BC10" s="229"/>
      <c r="BD10" s="229"/>
      <c r="BE10" s="229"/>
      <c r="BF10" s="229"/>
      <c r="BG10" s="182" t="str">
        <f>LEFT(VLOOKUP(BB10,DATA!$Q$58:$U$83, 5, FALSE), 1)</f>
        <v>C</v>
      </c>
      <c r="BH10" s="172"/>
      <c r="BI10" s="229" t="s">
        <v>454</v>
      </c>
      <c r="BJ10" s="229"/>
      <c r="BK10" s="229"/>
      <c r="BL10" s="229"/>
      <c r="BM10" s="229"/>
      <c r="BN10" s="182" t="str">
        <f>LEFT(VLOOKUP(BI10,DATA!$Q$58:$U$83, 5, FALSE), 1)</f>
        <v>H</v>
      </c>
      <c r="BO10" s="183"/>
      <c r="BP10" s="125">
        <f t="shared" si="1"/>
        <v>0</v>
      </c>
      <c r="BQ10" s="125">
        <f t="shared" si="2"/>
        <v>0</v>
      </c>
      <c r="BR10" s="125">
        <f t="shared" ref="BR10:BR17" si="4">IF(ISBLANK(AZ10), 0, IF(AZ10&lt;4, AZ10*1000, AZ10*2000))</f>
        <v>0</v>
      </c>
    </row>
    <row r="11" spans="1:78" x14ac:dyDescent="0.25">
      <c r="A11" s="320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2"/>
      <c r="N11" s="227"/>
      <c r="O11" s="227"/>
      <c r="P11" s="227"/>
      <c r="Q11" s="227"/>
      <c r="R11" s="324"/>
      <c r="S11" s="324"/>
      <c r="T11" s="324"/>
      <c r="U11" s="323">
        <f t="shared" si="0"/>
        <v>0</v>
      </c>
      <c r="V11" s="323"/>
      <c r="W11" s="323"/>
      <c r="X11" s="323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64"/>
      <c r="AK11" s="264"/>
      <c r="AL11" s="316">
        <f>AJ11*2500</f>
        <v>0</v>
      </c>
      <c r="AM11" s="316"/>
      <c r="AN11" s="316"/>
      <c r="AO11" s="316"/>
      <c r="AQ11" s="276"/>
      <c r="AR11" s="276"/>
      <c r="AS11" s="276"/>
      <c r="AT11" s="276"/>
      <c r="AU11" s="276"/>
      <c r="AV11" s="276"/>
      <c r="AW11" s="276"/>
      <c r="AX11" s="276"/>
      <c r="AY11" s="276"/>
      <c r="AZ11" s="227"/>
      <c r="BA11" s="227"/>
      <c r="BB11" s="229" t="s">
        <v>455</v>
      </c>
      <c r="BC11" s="229"/>
      <c r="BD11" s="229"/>
      <c r="BE11" s="229"/>
      <c r="BF11" s="229"/>
      <c r="BG11" s="182" t="str">
        <f>LEFT(VLOOKUP(BB11,DATA!$Q$58:$U$83, 5, FALSE), 1)</f>
        <v>C</v>
      </c>
      <c r="BH11" s="172"/>
      <c r="BI11" s="229" t="s">
        <v>456</v>
      </c>
      <c r="BJ11" s="229"/>
      <c r="BK11" s="229"/>
      <c r="BL11" s="229"/>
      <c r="BM11" s="229"/>
      <c r="BN11" s="182" t="str">
        <f>LEFT(VLOOKUP(BI11,DATA!$Q$58:$U$83, 5, FALSE), 1)</f>
        <v>C</v>
      </c>
      <c r="BO11" s="183"/>
      <c r="BP11" s="125">
        <f t="shared" si="1"/>
        <v>0</v>
      </c>
      <c r="BQ11" s="125">
        <f t="shared" si="2"/>
        <v>0</v>
      </c>
      <c r="BR11" s="125">
        <f t="shared" si="4"/>
        <v>0</v>
      </c>
      <c r="BW11" s="68"/>
      <c r="BX11" s="68"/>
      <c r="BY11" s="68"/>
      <c r="BZ11" s="68"/>
    </row>
    <row r="12" spans="1:78" x14ac:dyDescent="0.25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2"/>
      <c r="N12" s="227"/>
      <c r="O12" s="227"/>
      <c r="P12" s="227"/>
      <c r="Q12" s="227"/>
      <c r="R12" s="324"/>
      <c r="S12" s="324"/>
      <c r="T12" s="324"/>
      <c r="U12" s="323">
        <f t="shared" si="0"/>
        <v>0</v>
      </c>
      <c r="V12" s="323"/>
      <c r="W12" s="323"/>
      <c r="X12" s="323"/>
      <c r="Z12" s="317" t="s">
        <v>376</v>
      </c>
      <c r="AA12" s="312"/>
      <c r="AB12" s="313"/>
      <c r="AC12" s="313"/>
      <c r="AD12" s="313"/>
      <c r="AE12" s="313"/>
      <c r="AF12" s="313"/>
      <c r="AG12" s="313"/>
      <c r="AH12" s="313"/>
      <c r="AI12" s="313"/>
      <c r="AJ12" s="314"/>
      <c r="AK12" s="314"/>
      <c r="AL12" s="315">
        <f>AJ12*200</f>
        <v>0</v>
      </c>
      <c r="AM12" s="315"/>
      <c r="AN12" s="315"/>
      <c r="AO12" s="315"/>
      <c r="AQ12" s="276"/>
      <c r="AR12" s="276"/>
      <c r="AS12" s="276"/>
      <c r="AT12" s="276"/>
      <c r="AU12" s="276"/>
      <c r="AV12" s="276"/>
      <c r="AW12" s="276"/>
      <c r="AX12" s="276"/>
      <c r="AY12" s="276"/>
      <c r="AZ12" s="227"/>
      <c r="BA12" s="227"/>
      <c r="BB12" s="229" t="s">
        <v>457</v>
      </c>
      <c r="BC12" s="229"/>
      <c r="BD12" s="229"/>
      <c r="BE12" s="229"/>
      <c r="BF12" s="229"/>
      <c r="BG12" s="182" t="str">
        <f>LEFT(VLOOKUP(BB12,DATA!$Q$58:$U$83, 5, FALSE), 1)</f>
        <v>H</v>
      </c>
      <c r="BH12" s="172"/>
      <c r="BI12" s="229" t="s">
        <v>458</v>
      </c>
      <c r="BJ12" s="229"/>
      <c r="BK12" s="229"/>
      <c r="BL12" s="229"/>
      <c r="BM12" s="229"/>
      <c r="BN12" s="182" t="str">
        <f>LEFT(VLOOKUP(BI12,DATA!$Q$58:$U$83, 5, FALSE), 1)</f>
        <v>H</v>
      </c>
      <c r="BO12" s="183"/>
      <c r="BP12" s="125">
        <f t="shared" si="1"/>
        <v>0</v>
      </c>
      <c r="BQ12" s="125">
        <f t="shared" si="2"/>
        <v>0</v>
      </c>
      <c r="BR12" s="125">
        <f t="shared" si="4"/>
        <v>0</v>
      </c>
      <c r="BW12" s="143"/>
      <c r="BX12" s="143"/>
      <c r="BY12" s="143"/>
      <c r="BZ12" s="143"/>
    </row>
    <row r="13" spans="1:78" x14ac:dyDescent="0.25">
      <c r="A13" s="320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2"/>
      <c r="N13" s="227"/>
      <c r="O13" s="227"/>
      <c r="P13" s="227"/>
      <c r="Q13" s="227"/>
      <c r="R13" s="324"/>
      <c r="S13" s="324"/>
      <c r="T13" s="324"/>
      <c r="U13" s="323">
        <f t="shared" si="0"/>
        <v>0</v>
      </c>
      <c r="V13" s="323"/>
      <c r="W13" s="323"/>
      <c r="X13" s="323"/>
      <c r="Z13" s="317"/>
      <c r="AA13" s="312"/>
      <c r="AB13" s="313"/>
      <c r="AC13" s="313"/>
      <c r="AD13" s="313"/>
      <c r="AE13" s="313"/>
      <c r="AF13" s="313"/>
      <c r="AG13" s="313"/>
      <c r="AH13" s="313"/>
      <c r="AI13" s="313"/>
      <c r="AJ13" s="314"/>
      <c r="AK13" s="314"/>
      <c r="AL13" s="315">
        <f t="shared" ref="AL13:AL16" si="5">AJ13*200</f>
        <v>0</v>
      </c>
      <c r="AM13" s="315"/>
      <c r="AN13" s="315"/>
      <c r="AO13" s="315"/>
      <c r="AQ13" s="276"/>
      <c r="AR13" s="276"/>
      <c r="AS13" s="276"/>
      <c r="AT13" s="276"/>
      <c r="AU13" s="276"/>
      <c r="AV13" s="276"/>
      <c r="AW13" s="276"/>
      <c r="AX13" s="276"/>
      <c r="AY13" s="276"/>
      <c r="AZ13" s="227"/>
      <c r="BA13" s="227"/>
      <c r="BB13" s="229" t="s">
        <v>459</v>
      </c>
      <c r="BC13" s="229"/>
      <c r="BD13" s="229"/>
      <c r="BE13" s="229"/>
      <c r="BF13" s="229"/>
      <c r="BG13" s="182" t="str">
        <f>LEFT(VLOOKUP(BB13,DATA!$Q$58:$U$83, 5, FALSE), 1)</f>
        <v>H</v>
      </c>
      <c r="BH13" s="172"/>
      <c r="BI13" s="229" t="s">
        <v>258</v>
      </c>
      <c r="BJ13" s="229"/>
      <c r="BK13" s="229"/>
      <c r="BL13" s="229"/>
      <c r="BM13" s="229"/>
      <c r="BN13" s="182" t="str">
        <f>LEFT(VLOOKUP(BI13,DATA!$Q$58:$U$83, 5, FALSE), 1)</f>
        <v>H</v>
      </c>
      <c r="BO13" s="183"/>
      <c r="BP13" s="125">
        <f t="shared" si="1"/>
        <v>0</v>
      </c>
      <c r="BQ13" s="125">
        <f t="shared" si="2"/>
        <v>0</v>
      </c>
      <c r="BR13" s="125">
        <f t="shared" si="4"/>
        <v>0</v>
      </c>
      <c r="BW13" s="143"/>
      <c r="BX13" s="143"/>
      <c r="BY13" s="143"/>
      <c r="BZ13" s="143"/>
    </row>
    <row r="14" spans="1:78" x14ac:dyDescent="0.25">
      <c r="A14" s="320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2"/>
      <c r="N14" s="227"/>
      <c r="O14" s="227"/>
      <c r="P14" s="227"/>
      <c r="Q14" s="227"/>
      <c r="R14" s="324"/>
      <c r="S14" s="324"/>
      <c r="T14" s="324"/>
      <c r="U14" s="323">
        <f t="shared" si="0"/>
        <v>0</v>
      </c>
      <c r="V14" s="323"/>
      <c r="W14" s="323"/>
      <c r="X14" s="323"/>
      <c r="Z14" s="317"/>
      <c r="AA14" s="312"/>
      <c r="AB14" s="313"/>
      <c r="AC14" s="313"/>
      <c r="AD14" s="313"/>
      <c r="AE14" s="313"/>
      <c r="AF14" s="313"/>
      <c r="AG14" s="313"/>
      <c r="AH14" s="313"/>
      <c r="AI14" s="313"/>
      <c r="AJ14" s="314"/>
      <c r="AK14" s="314"/>
      <c r="AL14" s="315">
        <f t="shared" si="5"/>
        <v>0</v>
      </c>
      <c r="AM14" s="315"/>
      <c r="AN14" s="315"/>
      <c r="AO14" s="315"/>
      <c r="AQ14" s="334"/>
      <c r="AR14" s="334"/>
      <c r="AS14" s="334"/>
      <c r="AT14" s="334"/>
      <c r="AU14" s="334"/>
      <c r="AV14" s="334"/>
      <c r="AW14" s="334"/>
      <c r="AX14" s="334"/>
      <c r="AY14" s="334"/>
      <c r="AZ14" s="300"/>
      <c r="BA14" s="300"/>
      <c r="BB14" s="229" t="s">
        <v>460</v>
      </c>
      <c r="BC14" s="229"/>
      <c r="BD14" s="229"/>
      <c r="BE14" s="229"/>
      <c r="BF14" s="229"/>
      <c r="BG14" s="182" t="str">
        <f>LEFT(VLOOKUP(BB14,DATA!$Q$58:$U$83, 5, FALSE), 1)</f>
        <v>H</v>
      </c>
      <c r="BH14" s="172"/>
      <c r="BI14" s="229" t="s">
        <v>461</v>
      </c>
      <c r="BJ14" s="229"/>
      <c r="BK14" s="229"/>
      <c r="BL14" s="229"/>
      <c r="BM14" s="229"/>
      <c r="BN14" s="182" t="str">
        <f>LEFT(VLOOKUP(BI14,DATA!$Q$58:$U$83, 5, FALSE), 1)</f>
        <v>C</v>
      </c>
      <c r="BO14" s="183"/>
      <c r="BP14" s="125">
        <f t="shared" si="1"/>
        <v>0</v>
      </c>
      <c r="BQ14" s="125">
        <f>IF(ISBLANK(BO14),0,IF(BN14="H",250,80))</f>
        <v>0</v>
      </c>
      <c r="BR14" s="125">
        <f t="shared" si="4"/>
        <v>0</v>
      </c>
      <c r="BW14" s="143"/>
      <c r="BX14" s="143"/>
      <c r="BY14" s="143"/>
      <c r="BZ14" s="143"/>
    </row>
    <row r="15" spans="1:78" x14ac:dyDescent="0.25">
      <c r="A15" s="320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2"/>
      <c r="N15" s="227"/>
      <c r="O15" s="227"/>
      <c r="P15" s="227"/>
      <c r="Q15" s="227"/>
      <c r="R15" s="324"/>
      <c r="S15" s="324"/>
      <c r="T15" s="324"/>
      <c r="U15" s="323">
        <f t="shared" si="0"/>
        <v>0</v>
      </c>
      <c r="V15" s="323"/>
      <c r="W15" s="323"/>
      <c r="X15" s="323"/>
      <c r="Z15" s="317"/>
      <c r="AA15" s="312"/>
      <c r="AB15" s="313"/>
      <c r="AC15" s="313"/>
      <c r="AD15" s="313"/>
      <c r="AE15" s="313"/>
      <c r="AF15" s="313"/>
      <c r="AG15" s="313"/>
      <c r="AH15" s="313"/>
      <c r="AI15" s="313"/>
      <c r="AJ15" s="314"/>
      <c r="AK15" s="314"/>
      <c r="AL15" s="315">
        <f t="shared" si="5"/>
        <v>0</v>
      </c>
      <c r="AM15" s="315"/>
      <c r="AN15" s="315"/>
      <c r="AO15" s="315"/>
      <c r="AQ15" s="334"/>
      <c r="AR15" s="334"/>
      <c r="AS15" s="334"/>
      <c r="AT15" s="334"/>
      <c r="AU15" s="334"/>
      <c r="AV15" s="334"/>
      <c r="AW15" s="334"/>
      <c r="AX15" s="334"/>
      <c r="AY15" s="334"/>
      <c r="AZ15" s="300"/>
      <c r="BA15" s="300"/>
      <c r="BB15" s="229" t="s">
        <v>462</v>
      </c>
      <c r="BC15" s="229"/>
      <c r="BD15" s="229"/>
      <c r="BE15" s="229"/>
      <c r="BF15" s="229"/>
      <c r="BG15" s="182" t="str">
        <f>LEFT(VLOOKUP(BB15,DATA!$Q$58:$U$83, 5, FALSE), 1)</f>
        <v>C</v>
      </c>
      <c r="BH15" s="172"/>
      <c r="BI15" s="229" t="s">
        <v>463</v>
      </c>
      <c r="BJ15" s="229"/>
      <c r="BK15" s="229"/>
      <c r="BL15" s="229"/>
      <c r="BM15" s="229"/>
      <c r="BN15" s="182" t="str">
        <f>LEFT(VLOOKUP(BI15,DATA!$Q$58:$U$83, 5, FALSE), 1)</f>
        <v>H</v>
      </c>
      <c r="BO15" s="183"/>
      <c r="BP15" s="125">
        <f t="shared" si="1"/>
        <v>0</v>
      </c>
      <c r="BQ15" s="125">
        <f t="shared" si="2"/>
        <v>0</v>
      </c>
      <c r="BR15" s="125">
        <f t="shared" si="4"/>
        <v>0</v>
      </c>
      <c r="BW15" s="143"/>
      <c r="BX15" s="143"/>
      <c r="BY15" s="143"/>
      <c r="BZ15" s="143"/>
    </row>
    <row r="16" spans="1:78" x14ac:dyDescent="0.25">
      <c r="A16" s="320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2"/>
      <c r="N16" s="227"/>
      <c r="O16" s="227"/>
      <c r="P16" s="227"/>
      <c r="Q16" s="227"/>
      <c r="R16" s="324"/>
      <c r="S16" s="324"/>
      <c r="T16" s="324"/>
      <c r="U16" s="323">
        <f t="shared" si="0"/>
        <v>0</v>
      </c>
      <c r="V16" s="323"/>
      <c r="W16" s="323"/>
      <c r="X16" s="323"/>
      <c r="Z16" s="317"/>
      <c r="AA16" s="312"/>
      <c r="AB16" s="313"/>
      <c r="AC16" s="313"/>
      <c r="AD16" s="313"/>
      <c r="AE16" s="313"/>
      <c r="AF16" s="313"/>
      <c r="AG16" s="313"/>
      <c r="AH16" s="313"/>
      <c r="AI16" s="313"/>
      <c r="AJ16" s="314"/>
      <c r="AK16" s="314"/>
      <c r="AL16" s="315">
        <f t="shared" si="5"/>
        <v>0</v>
      </c>
      <c r="AM16" s="315"/>
      <c r="AN16" s="315"/>
      <c r="AO16" s="315"/>
      <c r="AQ16" s="334"/>
      <c r="AR16" s="334"/>
      <c r="AS16" s="334"/>
      <c r="AT16" s="334"/>
      <c r="AU16" s="334"/>
      <c r="AV16" s="334"/>
      <c r="AW16" s="334"/>
      <c r="AX16" s="334"/>
      <c r="AY16" s="334"/>
      <c r="AZ16" s="300"/>
      <c r="BA16" s="300"/>
      <c r="BB16" s="229" t="s">
        <v>464</v>
      </c>
      <c r="BC16" s="229"/>
      <c r="BD16" s="229"/>
      <c r="BE16" s="229"/>
      <c r="BF16" s="229"/>
      <c r="BG16" s="182" t="str">
        <f>LEFT(VLOOKUP(BB16,DATA!$Q$58:$U$83, 5, FALSE), 1)</f>
        <v>C</v>
      </c>
      <c r="BH16" s="172"/>
      <c r="BI16" s="229" t="s">
        <v>465</v>
      </c>
      <c r="BJ16" s="229"/>
      <c r="BK16" s="229"/>
      <c r="BL16" s="229"/>
      <c r="BM16" s="229"/>
      <c r="BN16" s="182" t="str">
        <f>LEFT(VLOOKUP(BI16,DATA!$Q$58:$U$83, 5, FALSE), 1)</f>
        <v>C</v>
      </c>
      <c r="BO16" s="183"/>
      <c r="BP16" s="125">
        <f t="shared" si="1"/>
        <v>0</v>
      </c>
      <c r="BQ16" s="125">
        <f t="shared" si="2"/>
        <v>0</v>
      </c>
      <c r="BR16" s="125">
        <f t="shared" si="4"/>
        <v>0</v>
      </c>
      <c r="BW16" s="143"/>
      <c r="BX16" s="143"/>
      <c r="BY16" s="143"/>
      <c r="BZ16" s="143"/>
    </row>
    <row r="17" spans="1:78" x14ac:dyDescent="0.25">
      <c r="A17" s="320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2"/>
      <c r="N17" s="227"/>
      <c r="O17" s="227"/>
      <c r="P17" s="227"/>
      <c r="Q17" s="227"/>
      <c r="R17" s="324"/>
      <c r="S17" s="324"/>
      <c r="T17" s="324"/>
      <c r="U17" s="323">
        <f t="shared" si="0"/>
        <v>0</v>
      </c>
      <c r="V17" s="323"/>
      <c r="W17" s="323"/>
      <c r="X17" s="323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64"/>
      <c r="AK17" s="264"/>
      <c r="AL17" s="316">
        <f>AJ17*2500</f>
        <v>0</v>
      </c>
      <c r="AM17" s="316"/>
      <c r="AN17" s="316"/>
      <c r="AO17" s="316"/>
      <c r="AQ17" s="276"/>
      <c r="AR17" s="276"/>
      <c r="AS17" s="276"/>
      <c r="AT17" s="276"/>
      <c r="AU17" s="276"/>
      <c r="AV17" s="276"/>
      <c r="AW17" s="276"/>
      <c r="AX17" s="276"/>
      <c r="AY17" s="276"/>
      <c r="AZ17" s="227"/>
      <c r="BA17" s="227"/>
      <c r="BB17" s="229" t="s">
        <v>466</v>
      </c>
      <c r="BC17" s="229"/>
      <c r="BD17" s="229"/>
      <c r="BE17" s="229"/>
      <c r="BF17" s="229"/>
      <c r="BG17" s="182" t="str">
        <f>LEFT(VLOOKUP(BB17,DATA!$Q$58:$U$83, 5, FALSE), 1)</f>
        <v>H</v>
      </c>
      <c r="BH17" s="172"/>
      <c r="BI17" s="229" t="s">
        <v>467</v>
      </c>
      <c r="BJ17" s="229"/>
      <c r="BK17" s="229"/>
      <c r="BL17" s="229"/>
      <c r="BM17" s="229"/>
      <c r="BN17" s="182" t="str">
        <f>LEFT(VLOOKUP(BI17,DATA!$Q$58:$U$83, 5, FALSE), 1)</f>
        <v>H</v>
      </c>
      <c r="BO17" s="183"/>
      <c r="BP17" s="125">
        <f t="shared" si="1"/>
        <v>0</v>
      </c>
      <c r="BQ17" s="125">
        <f t="shared" si="2"/>
        <v>0</v>
      </c>
      <c r="BR17" s="125">
        <f t="shared" si="4"/>
        <v>0</v>
      </c>
      <c r="BW17" s="143"/>
      <c r="BX17" s="143"/>
      <c r="BY17" s="143"/>
      <c r="BZ17" s="143"/>
    </row>
    <row r="18" spans="1:78" x14ac:dyDescent="0.25">
      <c r="A18" s="320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2"/>
      <c r="N18" s="227"/>
      <c r="O18" s="227"/>
      <c r="P18" s="227"/>
      <c r="Q18" s="227"/>
      <c r="R18" s="324"/>
      <c r="S18" s="324"/>
      <c r="T18" s="324"/>
      <c r="U18" s="323">
        <f t="shared" si="0"/>
        <v>0</v>
      </c>
      <c r="V18" s="323"/>
      <c r="W18" s="323"/>
      <c r="X18" s="323"/>
      <c r="Z18" s="317" t="s">
        <v>376</v>
      </c>
      <c r="AA18" s="312"/>
      <c r="AB18" s="313"/>
      <c r="AC18" s="313"/>
      <c r="AD18" s="313"/>
      <c r="AE18" s="313"/>
      <c r="AF18" s="313"/>
      <c r="AG18" s="313"/>
      <c r="AH18" s="313"/>
      <c r="AI18" s="313"/>
      <c r="AJ18" s="314"/>
      <c r="AK18" s="314"/>
      <c r="AL18" s="315">
        <f>AJ18*200</f>
        <v>0</v>
      </c>
      <c r="AM18" s="315"/>
      <c r="AN18" s="315"/>
      <c r="AO18" s="315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M18" s="126"/>
      <c r="BN18" s="126"/>
      <c r="BO18" s="126"/>
      <c r="BP18" s="125">
        <f>SUM(BP5:BQ17,BR9:BR17)</f>
        <v>0</v>
      </c>
      <c r="BQ18" s="185"/>
      <c r="BW18" s="143"/>
      <c r="BX18" s="143"/>
      <c r="BY18" s="143"/>
      <c r="BZ18" s="143"/>
    </row>
    <row r="19" spans="1:78" x14ac:dyDescent="0.25">
      <c r="A19" s="320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2"/>
      <c r="N19" s="227"/>
      <c r="O19" s="227"/>
      <c r="P19" s="227"/>
      <c r="Q19" s="227"/>
      <c r="R19" s="324"/>
      <c r="S19" s="324"/>
      <c r="T19" s="324"/>
      <c r="U19" s="323">
        <f t="shared" si="0"/>
        <v>0</v>
      </c>
      <c r="V19" s="323"/>
      <c r="W19" s="323"/>
      <c r="X19" s="323"/>
      <c r="Z19" s="317"/>
      <c r="AA19" s="312"/>
      <c r="AB19" s="313"/>
      <c r="AC19" s="313"/>
      <c r="AD19" s="313"/>
      <c r="AE19" s="313"/>
      <c r="AF19" s="313"/>
      <c r="AG19" s="313"/>
      <c r="AH19" s="313"/>
      <c r="AI19" s="313"/>
      <c r="AJ19" s="314"/>
      <c r="AK19" s="314"/>
      <c r="AL19" s="315">
        <f t="shared" ref="AL19:AL22" si="6">AJ19*200</f>
        <v>0</v>
      </c>
      <c r="AM19" s="315"/>
      <c r="AN19" s="315"/>
      <c r="AO19" s="315"/>
      <c r="BW19" s="143"/>
      <c r="BX19" s="143"/>
      <c r="BY19" s="143"/>
      <c r="BZ19" s="143"/>
    </row>
    <row r="20" spans="1:78" x14ac:dyDescent="0.25">
      <c r="A20" s="320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2"/>
      <c r="N20" s="227"/>
      <c r="O20" s="227"/>
      <c r="P20" s="227"/>
      <c r="Q20" s="227"/>
      <c r="R20" s="324"/>
      <c r="S20" s="324"/>
      <c r="T20" s="324"/>
      <c r="U20" s="323">
        <f t="shared" si="0"/>
        <v>0</v>
      </c>
      <c r="V20" s="323"/>
      <c r="W20" s="323"/>
      <c r="X20" s="323"/>
      <c r="Z20" s="317"/>
      <c r="AA20" s="312"/>
      <c r="AB20" s="313"/>
      <c r="AC20" s="313"/>
      <c r="AD20" s="313"/>
      <c r="AE20" s="313"/>
      <c r="AF20" s="313"/>
      <c r="AG20" s="313"/>
      <c r="AH20" s="313"/>
      <c r="AI20" s="313"/>
      <c r="AJ20" s="314"/>
      <c r="AK20" s="314"/>
      <c r="AL20" s="315">
        <f t="shared" si="6"/>
        <v>0</v>
      </c>
      <c r="AM20" s="315"/>
      <c r="AN20" s="315"/>
      <c r="AO20" s="315"/>
      <c r="BW20" s="143"/>
      <c r="BX20" s="143"/>
      <c r="BY20" s="143"/>
      <c r="BZ20" s="143"/>
    </row>
    <row r="21" spans="1:78" x14ac:dyDescent="0.25">
      <c r="A21" s="320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2"/>
      <c r="N21" s="227"/>
      <c r="O21" s="227"/>
      <c r="P21" s="227"/>
      <c r="Q21" s="227"/>
      <c r="R21" s="324"/>
      <c r="S21" s="324"/>
      <c r="T21" s="324"/>
      <c r="U21" s="323">
        <f t="shared" si="0"/>
        <v>0</v>
      </c>
      <c r="V21" s="323"/>
      <c r="W21" s="323"/>
      <c r="X21" s="323"/>
      <c r="Z21" s="317"/>
      <c r="AA21" s="312"/>
      <c r="AB21" s="313"/>
      <c r="AC21" s="313"/>
      <c r="AD21" s="313"/>
      <c r="AE21" s="313"/>
      <c r="AF21" s="313"/>
      <c r="AG21" s="313"/>
      <c r="AH21" s="313"/>
      <c r="AI21" s="313"/>
      <c r="AJ21" s="314"/>
      <c r="AK21" s="314"/>
      <c r="AL21" s="315">
        <f t="shared" si="6"/>
        <v>0</v>
      </c>
      <c r="AM21" s="315"/>
      <c r="AN21" s="315"/>
      <c r="AO21" s="315"/>
      <c r="BW21" s="143"/>
      <c r="BX21" s="143"/>
      <c r="BY21" s="143"/>
      <c r="BZ21" s="143"/>
    </row>
    <row r="22" spans="1:78" x14ac:dyDescent="0.25">
      <c r="A22" s="320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2"/>
      <c r="N22" s="227"/>
      <c r="O22" s="227"/>
      <c r="P22" s="227"/>
      <c r="Q22" s="227"/>
      <c r="R22" s="324"/>
      <c r="S22" s="324"/>
      <c r="T22" s="324"/>
      <c r="U22" s="323">
        <f t="shared" si="0"/>
        <v>0</v>
      </c>
      <c r="V22" s="323"/>
      <c r="W22" s="323"/>
      <c r="X22" s="323"/>
      <c r="Z22" s="317"/>
      <c r="AA22" s="312"/>
      <c r="AB22" s="313"/>
      <c r="AC22" s="313"/>
      <c r="AD22" s="313"/>
      <c r="AE22" s="313"/>
      <c r="AF22" s="313"/>
      <c r="AG22" s="313"/>
      <c r="AH22" s="313"/>
      <c r="AI22" s="313"/>
      <c r="AJ22" s="314"/>
      <c r="AK22" s="314"/>
      <c r="AL22" s="315">
        <f t="shared" si="6"/>
        <v>0</v>
      </c>
      <c r="AM22" s="315"/>
      <c r="AN22" s="315"/>
      <c r="AO22" s="315"/>
      <c r="BW22" s="143"/>
      <c r="BX22" s="143"/>
      <c r="BY22" s="143"/>
      <c r="BZ22" s="143"/>
    </row>
    <row r="23" spans="1:78" x14ac:dyDescent="0.25">
      <c r="A23" s="320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2"/>
      <c r="N23" s="227"/>
      <c r="O23" s="227"/>
      <c r="P23" s="227"/>
      <c r="Q23" s="227"/>
      <c r="R23" s="324"/>
      <c r="S23" s="324"/>
      <c r="T23" s="324"/>
      <c r="U23" s="323">
        <f t="shared" si="0"/>
        <v>0</v>
      </c>
      <c r="V23" s="323"/>
      <c r="W23" s="323"/>
      <c r="X23" s="323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64"/>
      <c r="AK23" s="264"/>
      <c r="AL23" s="316">
        <f>AJ23*2500</f>
        <v>0</v>
      </c>
      <c r="AM23" s="316"/>
      <c r="AN23" s="316"/>
      <c r="AO23" s="316"/>
      <c r="BW23" s="143"/>
      <c r="BX23" s="143"/>
      <c r="BY23" s="143"/>
      <c r="BZ23" s="143"/>
    </row>
    <row r="24" spans="1:78" x14ac:dyDescent="0.25">
      <c r="A24" s="320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2"/>
      <c r="N24" s="227"/>
      <c r="O24" s="227"/>
      <c r="P24" s="227"/>
      <c r="Q24" s="227"/>
      <c r="R24" s="324"/>
      <c r="S24" s="324"/>
      <c r="T24" s="324"/>
      <c r="U24" s="323">
        <f t="shared" si="0"/>
        <v>0</v>
      </c>
      <c r="V24" s="323"/>
      <c r="W24" s="323"/>
      <c r="X24" s="323"/>
      <c r="Z24" s="317" t="s">
        <v>376</v>
      </c>
      <c r="AA24" s="312"/>
      <c r="AB24" s="313"/>
      <c r="AC24" s="313"/>
      <c r="AD24" s="313"/>
      <c r="AE24" s="313"/>
      <c r="AF24" s="313"/>
      <c r="AG24" s="313"/>
      <c r="AH24" s="313"/>
      <c r="AI24" s="313"/>
      <c r="AJ24" s="314"/>
      <c r="AK24" s="314"/>
      <c r="AL24" s="315">
        <f>AJ24*200</f>
        <v>0</v>
      </c>
      <c r="AM24" s="315"/>
      <c r="AN24" s="315"/>
      <c r="AO24" s="315"/>
      <c r="BW24" s="143"/>
      <c r="BX24" s="143"/>
      <c r="BY24" s="143"/>
      <c r="BZ24" s="143"/>
    </row>
    <row r="25" spans="1:78" x14ac:dyDescent="0.25">
      <c r="A25" s="320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2"/>
      <c r="N25" s="227"/>
      <c r="O25" s="227"/>
      <c r="P25" s="227"/>
      <c r="Q25" s="227"/>
      <c r="R25" s="324"/>
      <c r="S25" s="324"/>
      <c r="T25" s="324"/>
      <c r="U25" s="323">
        <f t="shared" si="0"/>
        <v>0</v>
      </c>
      <c r="V25" s="323"/>
      <c r="W25" s="323"/>
      <c r="X25" s="323"/>
      <c r="Z25" s="317"/>
      <c r="AA25" s="312"/>
      <c r="AB25" s="313"/>
      <c r="AC25" s="313"/>
      <c r="AD25" s="313"/>
      <c r="AE25" s="313"/>
      <c r="AF25" s="313"/>
      <c r="AG25" s="313"/>
      <c r="AH25" s="313"/>
      <c r="AI25" s="313"/>
      <c r="AJ25" s="314"/>
      <c r="AK25" s="314"/>
      <c r="AL25" s="315">
        <f t="shared" ref="AL25:AL28" si="7">AJ25*200</f>
        <v>0</v>
      </c>
      <c r="AM25" s="315"/>
      <c r="AN25" s="315"/>
      <c r="AO25" s="315"/>
      <c r="BW25" s="143"/>
      <c r="BX25" s="143"/>
      <c r="BY25" s="143"/>
      <c r="BZ25" s="143"/>
    </row>
    <row r="26" spans="1:78" x14ac:dyDescent="0.25">
      <c r="A26" s="320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2"/>
      <c r="N26" s="227"/>
      <c r="O26" s="227"/>
      <c r="P26" s="227"/>
      <c r="Q26" s="227"/>
      <c r="R26" s="324"/>
      <c r="S26" s="324"/>
      <c r="T26" s="324"/>
      <c r="U26" s="323">
        <f t="shared" si="0"/>
        <v>0</v>
      </c>
      <c r="V26" s="323"/>
      <c r="W26" s="323"/>
      <c r="X26" s="323"/>
      <c r="Z26" s="317"/>
      <c r="AA26" s="312"/>
      <c r="AB26" s="313"/>
      <c r="AC26" s="313"/>
      <c r="AD26" s="313"/>
      <c r="AE26" s="313"/>
      <c r="AF26" s="313"/>
      <c r="AG26" s="313"/>
      <c r="AH26" s="313"/>
      <c r="AI26" s="313"/>
      <c r="AJ26" s="314"/>
      <c r="AK26" s="314"/>
      <c r="AL26" s="315">
        <f t="shared" si="7"/>
        <v>0</v>
      </c>
      <c r="AM26" s="315"/>
      <c r="AN26" s="315"/>
      <c r="AO26" s="315"/>
      <c r="BW26" s="143"/>
      <c r="BX26" s="143"/>
      <c r="BY26" s="143"/>
      <c r="BZ26" s="143"/>
    </row>
    <row r="27" spans="1:78" x14ac:dyDescent="0.25">
      <c r="A27" s="320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2"/>
      <c r="N27" s="227"/>
      <c r="O27" s="227"/>
      <c r="P27" s="227"/>
      <c r="Q27" s="227"/>
      <c r="R27" s="324"/>
      <c r="S27" s="324"/>
      <c r="T27" s="324"/>
      <c r="U27" s="323">
        <f t="shared" si="0"/>
        <v>0</v>
      </c>
      <c r="V27" s="323"/>
      <c r="W27" s="323"/>
      <c r="X27" s="323"/>
      <c r="Z27" s="317"/>
      <c r="AA27" s="312"/>
      <c r="AB27" s="313"/>
      <c r="AC27" s="313"/>
      <c r="AD27" s="313"/>
      <c r="AE27" s="313"/>
      <c r="AF27" s="313"/>
      <c r="AG27" s="313"/>
      <c r="AH27" s="313"/>
      <c r="AI27" s="313"/>
      <c r="AJ27" s="314"/>
      <c r="AK27" s="314"/>
      <c r="AL27" s="315">
        <f t="shared" si="7"/>
        <v>0</v>
      </c>
      <c r="AM27" s="315"/>
      <c r="AN27" s="315"/>
      <c r="AO27" s="315"/>
      <c r="BW27" s="143"/>
      <c r="BX27" s="143"/>
      <c r="BY27" s="143"/>
      <c r="BZ27" s="143"/>
    </row>
    <row r="28" spans="1:78" x14ac:dyDescent="0.25">
      <c r="A28" s="320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2"/>
      <c r="N28" s="227"/>
      <c r="O28" s="227"/>
      <c r="P28" s="227"/>
      <c r="Q28" s="227"/>
      <c r="R28" s="324"/>
      <c r="S28" s="324"/>
      <c r="T28" s="324"/>
      <c r="U28" s="323">
        <f t="shared" si="0"/>
        <v>0</v>
      </c>
      <c r="V28" s="323"/>
      <c r="W28" s="323"/>
      <c r="X28" s="323"/>
      <c r="Z28" s="317"/>
      <c r="AA28" s="312"/>
      <c r="AB28" s="313"/>
      <c r="AC28" s="313"/>
      <c r="AD28" s="313"/>
      <c r="AE28" s="313"/>
      <c r="AF28" s="313"/>
      <c r="AG28" s="313"/>
      <c r="AH28" s="313"/>
      <c r="AI28" s="313"/>
      <c r="AJ28" s="314"/>
      <c r="AK28" s="314"/>
      <c r="AL28" s="315">
        <f t="shared" si="7"/>
        <v>0</v>
      </c>
      <c r="AM28" s="315"/>
      <c r="AN28" s="315"/>
      <c r="AO28" s="315"/>
      <c r="BW28" s="143"/>
      <c r="BX28" s="143"/>
      <c r="BY28" s="143"/>
      <c r="BZ28" s="143"/>
    </row>
    <row r="29" spans="1:78" x14ac:dyDescent="0.25">
      <c r="A29" s="320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2"/>
      <c r="N29" s="227"/>
      <c r="O29" s="227"/>
      <c r="P29" s="227"/>
      <c r="Q29" s="227"/>
      <c r="R29" s="324"/>
      <c r="S29" s="324"/>
      <c r="T29" s="324"/>
      <c r="U29" s="323">
        <f t="shared" si="0"/>
        <v>0</v>
      </c>
      <c r="V29" s="323"/>
      <c r="W29" s="323"/>
      <c r="X29" s="323"/>
      <c r="BW29" s="143"/>
      <c r="BX29" s="143"/>
      <c r="BY29" s="143"/>
      <c r="BZ29" s="143"/>
    </row>
    <row r="30" spans="1:78" x14ac:dyDescent="0.25">
      <c r="A30" s="320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2"/>
      <c r="N30" s="227"/>
      <c r="O30" s="227"/>
      <c r="P30" s="227"/>
      <c r="Q30" s="227"/>
      <c r="R30" s="324"/>
      <c r="S30" s="324"/>
      <c r="T30" s="324"/>
      <c r="U30" s="323">
        <f t="shared" si="0"/>
        <v>0</v>
      </c>
      <c r="V30" s="323"/>
      <c r="W30" s="323"/>
      <c r="X30" s="323"/>
      <c r="Z30" s="262" t="s">
        <v>107</v>
      </c>
      <c r="AA30" s="262"/>
      <c r="AB30" s="262"/>
      <c r="AC30" s="262"/>
      <c r="AD30" s="262"/>
      <c r="AE30" s="262"/>
      <c r="AF30" s="262"/>
      <c r="AG30" s="262"/>
      <c r="AH30" s="262"/>
      <c r="AI30" s="262"/>
      <c r="AJ30" s="263" t="s">
        <v>378</v>
      </c>
      <c r="AK30" s="263"/>
      <c r="AL30" s="251" t="s">
        <v>232</v>
      </c>
      <c r="AM30" s="251"/>
      <c r="AN30" s="251"/>
      <c r="AO30" s="251"/>
      <c r="AP30" s="125">
        <f>IF('1. Priorities'!Q4="Dwarf", 1.2, IF('1. Priorities'!Q4="Troll", 2, 1))</f>
        <v>1</v>
      </c>
      <c r="BW30" s="143"/>
      <c r="BX30" s="143"/>
      <c r="BY30" s="143"/>
      <c r="BZ30" s="143"/>
    </row>
    <row r="31" spans="1:78" x14ac:dyDescent="0.25">
      <c r="A31" s="320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2"/>
      <c r="N31" s="227"/>
      <c r="O31" s="227"/>
      <c r="P31" s="227"/>
      <c r="Q31" s="227"/>
      <c r="R31" s="324"/>
      <c r="S31" s="324"/>
      <c r="T31" s="324"/>
      <c r="U31" s="323">
        <f t="shared" si="0"/>
        <v>0</v>
      </c>
      <c r="V31" s="323"/>
      <c r="W31" s="323"/>
      <c r="X31" s="323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27"/>
      <c r="AK31" s="227"/>
      <c r="AL31" s="231">
        <f>IF(ISBLANK(Z31), 0, ((VLOOKUP(Z31, DATA!$R$43:$V$48, 3, FALSE)*$AP$30)*AJ31))</f>
        <v>0</v>
      </c>
      <c r="AM31" s="231"/>
      <c r="AN31" s="231"/>
      <c r="AO31" s="231"/>
      <c r="BW31" s="143"/>
      <c r="BX31" s="143"/>
      <c r="BY31" s="143"/>
      <c r="BZ31" s="143"/>
    </row>
    <row r="32" spans="1:78" x14ac:dyDescent="0.25">
      <c r="A32" s="320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2"/>
      <c r="N32" s="227"/>
      <c r="O32" s="227"/>
      <c r="P32" s="227"/>
      <c r="Q32" s="227"/>
      <c r="R32" s="324"/>
      <c r="S32" s="324"/>
      <c r="T32" s="324"/>
      <c r="U32" s="323">
        <f t="shared" si="0"/>
        <v>0</v>
      </c>
      <c r="V32" s="323"/>
      <c r="W32" s="323"/>
      <c r="X32" s="323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27"/>
      <c r="AK32" s="227"/>
      <c r="AL32" s="231">
        <f>IF(ISBLANK(Z32), 0, ((VLOOKUP(Z32, DATA!$R$43:$V$48, 3, FALSE)*$AP$30)*AJ32))</f>
        <v>0</v>
      </c>
      <c r="AM32" s="231"/>
      <c r="AN32" s="231"/>
      <c r="AO32" s="231"/>
      <c r="BW32" s="143"/>
      <c r="BX32" s="143"/>
      <c r="BY32" s="143"/>
      <c r="BZ32" s="143"/>
    </row>
    <row r="33" spans="1:78" x14ac:dyDescent="0.25">
      <c r="A33" s="320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2"/>
      <c r="N33" s="227"/>
      <c r="O33" s="227"/>
      <c r="P33" s="227"/>
      <c r="Q33" s="227"/>
      <c r="R33" s="324"/>
      <c r="S33" s="324"/>
      <c r="T33" s="324"/>
      <c r="U33" s="323">
        <f t="shared" si="0"/>
        <v>0</v>
      </c>
      <c r="V33" s="323"/>
      <c r="W33" s="323"/>
      <c r="X33" s="323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27"/>
      <c r="AK33" s="227"/>
      <c r="AL33" s="231">
        <f>IF(ISBLANK(Z33), 0, ((VLOOKUP(Z33, DATA!$R$43:$V$48, 3, FALSE)*$AP$30)*AJ33))</f>
        <v>0</v>
      </c>
      <c r="AM33" s="231"/>
      <c r="AN33" s="231"/>
      <c r="AO33" s="231"/>
      <c r="BW33" s="143"/>
      <c r="BX33" s="143"/>
      <c r="BY33" s="143"/>
      <c r="BZ33" s="143"/>
    </row>
    <row r="34" spans="1:78" x14ac:dyDescent="0.25">
      <c r="A34" s="320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2"/>
      <c r="N34" s="227"/>
      <c r="O34" s="227"/>
      <c r="P34" s="227"/>
      <c r="Q34" s="227"/>
      <c r="R34" s="324"/>
      <c r="S34" s="324"/>
      <c r="T34" s="324"/>
      <c r="U34" s="323">
        <f t="shared" si="0"/>
        <v>0</v>
      </c>
      <c r="V34" s="323"/>
      <c r="W34" s="323"/>
      <c r="X34" s="323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27"/>
      <c r="AK34" s="227"/>
      <c r="AL34" s="231">
        <f>IF(ISBLANK(Z34), 0, ((VLOOKUP(Z34, DATA!$R$43:$V$48, 3, FALSE)*$AP$30)*AJ34))</f>
        <v>0</v>
      </c>
      <c r="AM34" s="231"/>
      <c r="AN34" s="231"/>
      <c r="AO34" s="231"/>
      <c r="BW34" s="143"/>
      <c r="BX34" s="143"/>
      <c r="BY34" s="143"/>
      <c r="BZ34" s="143"/>
    </row>
    <row r="35" spans="1:78" x14ac:dyDescent="0.25">
      <c r="A35" s="320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2"/>
      <c r="N35" s="227"/>
      <c r="O35" s="227"/>
      <c r="P35" s="227"/>
      <c r="Q35" s="227"/>
      <c r="R35" s="324"/>
      <c r="S35" s="324"/>
      <c r="T35" s="324"/>
      <c r="U35" s="323">
        <f t="shared" si="0"/>
        <v>0</v>
      </c>
      <c r="V35" s="323"/>
      <c r="W35" s="323"/>
      <c r="X35" s="323"/>
      <c r="BW35" s="143"/>
      <c r="BX35" s="143"/>
      <c r="BY35" s="143"/>
      <c r="BZ35" s="143"/>
    </row>
    <row r="36" spans="1:78" x14ac:dyDescent="0.25">
      <c r="A36" s="320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2"/>
      <c r="N36" s="227"/>
      <c r="O36" s="227"/>
      <c r="P36" s="227"/>
      <c r="Q36" s="227"/>
      <c r="R36" s="324"/>
      <c r="S36" s="324"/>
      <c r="T36" s="324"/>
      <c r="U36" s="323">
        <f t="shared" si="0"/>
        <v>0</v>
      </c>
      <c r="V36" s="323"/>
      <c r="W36" s="323"/>
      <c r="X36" s="323"/>
      <c r="Z36" s="144">
        <f>SUM(U5:X55)+Z39</f>
        <v>0</v>
      </c>
    </row>
    <row r="37" spans="1:78" x14ac:dyDescent="0.25">
      <c r="A37" s="320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2"/>
      <c r="N37" s="227"/>
      <c r="O37" s="227"/>
      <c r="P37" s="227"/>
      <c r="Q37" s="227"/>
      <c r="R37" s="324"/>
      <c r="S37" s="324"/>
      <c r="T37" s="324"/>
      <c r="U37" s="323">
        <f t="shared" ref="U37:U55" si="8">IF(P37&gt;1, (R37*P37)*N37, R37*N37)</f>
        <v>0</v>
      </c>
      <c r="V37" s="323"/>
      <c r="W37" s="323"/>
      <c r="X37" s="323"/>
      <c r="Z37" s="145">
        <f>SUM(AL5:AO28)</f>
        <v>0</v>
      </c>
    </row>
    <row r="38" spans="1:78" x14ac:dyDescent="0.25">
      <c r="A38" s="320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2"/>
      <c r="N38" s="227"/>
      <c r="O38" s="227"/>
      <c r="P38" s="227"/>
      <c r="Q38" s="227"/>
      <c r="R38" s="324"/>
      <c r="S38" s="324"/>
      <c r="T38" s="324"/>
      <c r="U38" s="323">
        <f t="shared" si="8"/>
        <v>0</v>
      </c>
      <c r="V38" s="323"/>
      <c r="W38" s="323"/>
      <c r="X38" s="323"/>
      <c r="Z38" s="146">
        <f>SUM(AL31:AO34)</f>
        <v>0</v>
      </c>
    </row>
    <row r="39" spans="1:78" x14ac:dyDescent="0.25">
      <c r="A39" s="320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2"/>
      <c r="N39" s="227"/>
      <c r="O39" s="227"/>
      <c r="P39" s="227"/>
      <c r="Q39" s="227"/>
      <c r="R39" s="324"/>
      <c r="S39" s="324"/>
      <c r="T39" s="324"/>
      <c r="U39" s="323">
        <f t="shared" si="8"/>
        <v>0</v>
      </c>
      <c r="V39" s="323"/>
      <c r="W39" s="323"/>
      <c r="X39" s="323"/>
      <c r="Z39" s="147">
        <f>SUM(AU5,BP18)</f>
        <v>0</v>
      </c>
    </row>
    <row r="40" spans="1:78" x14ac:dyDescent="0.25">
      <c r="A40" s="320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2"/>
      <c r="N40" s="227"/>
      <c r="O40" s="227"/>
      <c r="P40" s="227"/>
      <c r="Q40" s="227"/>
      <c r="R40" s="324"/>
      <c r="S40" s="324"/>
      <c r="T40" s="324"/>
      <c r="U40" s="323">
        <f t="shared" si="8"/>
        <v>0</v>
      </c>
      <c r="V40" s="323"/>
      <c r="W40" s="323"/>
      <c r="X40" s="323"/>
    </row>
    <row r="41" spans="1:78" x14ac:dyDescent="0.25">
      <c r="A41" s="320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227"/>
      <c r="O41" s="227"/>
      <c r="P41" s="227"/>
      <c r="Q41" s="227"/>
      <c r="R41" s="324"/>
      <c r="S41" s="324"/>
      <c r="T41" s="324"/>
      <c r="U41" s="323">
        <f t="shared" si="8"/>
        <v>0</v>
      </c>
      <c r="V41" s="323"/>
      <c r="W41" s="323"/>
      <c r="X41" s="323"/>
    </row>
    <row r="42" spans="1:78" x14ac:dyDescent="0.25">
      <c r="A42" s="320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2"/>
      <c r="N42" s="227"/>
      <c r="O42" s="227"/>
      <c r="P42" s="227"/>
      <c r="Q42" s="227"/>
      <c r="R42" s="324"/>
      <c r="S42" s="324"/>
      <c r="T42" s="324"/>
      <c r="U42" s="323">
        <f t="shared" si="8"/>
        <v>0</v>
      </c>
      <c r="V42" s="323"/>
      <c r="W42" s="323"/>
      <c r="X42" s="323"/>
    </row>
    <row r="43" spans="1:78" x14ac:dyDescent="0.25">
      <c r="A43" s="320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2"/>
      <c r="N43" s="227"/>
      <c r="O43" s="227"/>
      <c r="P43" s="227"/>
      <c r="Q43" s="227"/>
      <c r="R43" s="324"/>
      <c r="S43" s="324"/>
      <c r="T43" s="324"/>
      <c r="U43" s="323">
        <f t="shared" si="8"/>
        <v>0</v>
      </c>
      <c r="V43" s="323"/>
      <c r="W43" s="323"/>
      <c r="X43" s="323"/>
    </row>
    <row r="44" spans="1:78" x14ac:dyDescent="0.25">
      <c r="A44" s="320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2"/>
      <c r="N44" s="227"/>
      <c r="O44" s="227"/>
      <c r="P44" s="227"/>
      <c r="Q44" s="227"/>
      <c r="R44" s="324"/>
      <c r="S44" s="324"/>
      <c r="T44" s="324"/>
      <c r="U44" s="323">
        <f t="shared" si="8"/>
        <v>0</v>
      </c>
      <c r="V44" s="323"/>
      <c r="W44" s="323"/>
      <c r="X44" s="323"/>
    </row>
    <row r="45" spans="1:78" x14ac:dyDescent="0.25">
      <c r="A45" s="320"/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2"/>
      <c r="N45" s="227"/>
      <c r="O45" s="227"/>
      <c r="P45" s="227"/>
      <c r="Q45" s="227"/>
      <c r="R45" s="324"/>
      <c r="S45" s="324"/>
      <c r="T45" s="324"/>
      <c r="U45" s="323">
        <f t="shared" si="8"/>
        <v>0</v>
      </c>
      <c r="V45" s="323"/>
      <c r="W45" s="323"/>
      <c r="X45" s="323"/>
    </row>
    <row r="46" spans="1:78" x14ac:dyDescent="0.25">
      <c r="A46" s="320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2"/>
      <c r="N46" s="227"/>
      <c r="O46" s="227"/>
      <c r="P46" s="227"/>
      <c r="Q46" s="227"/>
      <c r="R46" s="324"/>
      <c r="S46" s="324"/>
      <c r="T46" s="324"/>
      <c r="U46" s="323">
        <f t="shared" si="8"/>
        <v>0</v>
      </c>
      <c r="V46" s="323"/>
      <c r="W46" s="323"/>
      <c r="X46" s="323"/>
    </row>
    <row r="47" spans="1:78" x14ac:dyDescent="0.25">
      <c r="A47" s="320"/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2"/>
      <c r="N47" s="227"/>
      <c r="O47" s="227"/>
      <c r="P47" s="227"/>
      <c r="Q47" s="227"/>
      <c r="R47" s="324"/>
      <c r="S47" s="324"/>
      <c r="T47" s="324"/>
      <c r="U47" s="323">
        <f t="shared" si="8"/>
        <v>0</v>
      </c>
      <c r="V47" s="323"/>
      <c r="W47" s="323"/>
      <c r="X47" s="323"/>
    </row>
    <row r="48" spans="1:78" x14ac:dyDescent="0.25">
      <c r="A48" s="320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2"/>
      <c r="N48" s="227"/>
      <c r="O48" s="227"/>
      <c r="P48" s="227"/>
      <c r="Q48" s="227"/>
      <c r="R48" s="324"/>
      <c r="S48" s="324"/>
      <c r="T48" s="324"/>
      <c r="U48" s="323">
        <f t="shared" si="8"/>
        <v>0</v>
      </c>
      <c r="V48" s="323"/>
      <c r="W48" s="323"/>
      <c r="X48" s="323"/>
    </row>
    <row r="49" spans="1:24" x14ac:dyDescent="0.25">
      <c r="A49" s="320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2"/>
      <c r="N49" s="227"/>
      <c r="O49" s="227"/>
      <c r="P49" s="227"/>
      <c r="Q49" s="227"/>
      <c r="R49" s="324"/>
      <c r="S49" s="324"/>
      <c r="T49" s="324"/>
      <c r="U49" s="323">
        <f t="shared" si="8"/>
        <v>0</v>
      </c>
      <c r="V49" s="323"/>
      <c r="W49" s="323"/>
      <c r="X49" s="323"/>
    </row>
    <row r="50" spans="1:24" x14ac:dyDescent="0.25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2"/>
      <c r="N50" s="227"/>
      <c r="O50" s="227"/>
      <c r="P50" s="227"/>
      <c r="Q50" s="227"/>
      <c r="R50" s="324"/>
      <c r="S50" s="324"/>
      <c r="T50" s="324"/>
      <c r="U50" s="323">
        <f t="shared" si="8"/>
        <v>0</v>
      </c>
      <c r="V50" s="323"/>
      <c r="W50" s="323"/>
      <c r="X50" s="323"/>
    </row>
    <row r="51" spans="1:24" x14ac:dyDescent="0.25">
      <c r="A51" s="320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2"/>
      <c r="N51" s="227"/>
      <c r="O51" s="227"/>
      <c r="P51" s="227"/>
      <c r="Q51" s="227"/>
      <c r="R51" s="324"/>
      <c r="S51" s="324"/>
      <c r="T51" s="324"/>
      <c r="U51" s="323">
        <f t="shared" si="8"/>
        <v>0</v>
      </c>
      <c r="V51" s="323"/>
      <c r="W51" s="323"/>
      <c r="X51" s="323"/>
    </row>
    <row r="52" spans="1:24" x14ac:dyDescent="0.25">
      <c r="A52" s="320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2"/>
      <c r="N52" s="227"/>
      <c r="O52" s="227"/>
      <c r="P52" s="227"/>
      <c r="Q52" s="227"/>
      <c r="R52" s="324"/>
      <c r="S52" s="324"/>
      <c r="T52" s="324"/>
      <c r="U52" s="323">
        <f t="shared" si="8"/>
        <v>0</v>
      </c>
      <c r="V52" s="323"/>
      <c r="W52" s="323"/>
      <c r="X52" s="323"/>
    </row>
    <row r="53" spans="1:24" x14ac:dyDescent="0.25">
      <c r="A53" s="320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2"/>
      <c r="N53" s="227"/>
      <c r="O53" s="227"/>
      <c r="P53" s="227"/>
      <c r="Q53" s="227"/>
      <c r="R53" s="324"/>
      <c r="S53" s="324"/>
      <c r="T53" s="324"/>
      <c r="U53" s="323">
        <f t="shared" si="8"/>
        <v>0</v>
      </c>
      <c r="V53" s="323"/>
      <c r="W53" s="323"/>
      <c r="X53" s="323"/>
    </row>
    <row r="54" spans="1:24" x14ac:dyDescent="0.25">
      <c r="A54" s="320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2"/>
      <c r="N54" s="227"/>
      <c r="O54" s="227"/>
      <c r="P54" s="227"/>
      <c r="Q54" s="227"/>
      <c r="R54" s="324"/>
      <c r="S54" s="324"/>
      <c r="T54" s="324"/>
      <c r="U54" s="323">
        <f t="shared" si="8"/>
        <v>0</v>
      </c>
      <c r="V54" s="323"/>
      <c r="W54" s="323"/>
      <c r="X54" s="323"/>
    </row>
    <row r="55" spans="1:24" x14ac:dyDescent="0.25">
      <c r="A55" s="320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2"/>
      <c r="N55" s="227"/>
      <c r="O55" s="227"/>
      <c r="P55" s="227"/>
      <c r="Q55" s="227"/>
      <c r="R55" s="324"/>
      <c r="S55" s="324"/>
      <c r="T55" s="324"/>
      <c r="U55" s="323">
        <f t="shared" si="8"/>
        <v>0</v>
      </c>
      <c r="V55" s="323"/>
      <c r="W55" s="323"/>
      <c r="X55" s="323"/>
    </row>
  </sheetData>
  <mergeCells count="427">
    <mergeCell ref="AQ16:AY16"/>
    <mergeCell ref="AZ16:BA16"/>
    <mergeCell ref="BB16:BF16"/>
    <mergeCell ref="BI16:BM16"/>
    <mergeCell ref="AQ17:AY17"/>
    <mergeCell ref="AZ17:BA17"/>
    <mergeCell ref="BB17:BF17"/>
    <mergeCell ref="BI17:BM17"/>
    <mergeCell ref="AQ13:AY13"/>
    <mergeCell ref="AZ13:BA13"/>
    <mergeCell ref="BB13:BF13"/>
    <mergeCell ref="BI13:BM13"/>
    <mergeCell ref="AQ14:AY14"/>
    <mergeCell ref="AZ14:BA14"/>
    <mergeCell ref="BB14:BF14"/>
    <mergeCell ref="BI14:BM14"/>
    <mergeCell ref="AQ15:AY15"/>
    <mergeCell ref="AZ15:BA15"/>
    <mergeCell ref="BB15:BF15"/>
    <mergeCell ref="BI15:BM15"/>
    <mergeCell ref="AQ10:AY10"/>
    <mergeCell ref="AZ10:BA10"/>
    <mergeCell ref="BB10:BF10"/>
    <mergeCell ref="BI10:BM10"/>
    <mergeCell ref="AQ11:AY11"/>
    <mergeCell ref="AZ11:BA11"/>
    <mergeCell ref="BB11:BF11"/>
    <mergeCell ref="BI11:BM11"/>
    <mergeCell ref="AQ12:AY12"/>
    <mergeCell ref="AZ12:BA12"/>
    <mergeCell ref="BB12:BF12"/>
    <mergeCell ref="BI12:BM12"/>
    <mergeCell ref="AQ7:AU7"/>
    <mergeCell ref="AV7:AZ7"/>
    <mergeCell ref="BB7:BF7"/>
    <mergeCell ref="BI7:BM7"/>
    <mergeCell ref="AQ8:AY8"/>
    <mergeCell ref="AZ8:BA8"/>
    <mergeCell ref="BB8:BF8"/>
    <mergeCell ref="BI8:BM8"/>
    <mergeCell ref="AQ9:AY9"/>
    <mergeCell ref="AZ9:BA9"/>
    <mergeCell ref="BB9:BF9"/>
    <mergeCell ref="BI9:BM9"/>
    <mergeCell ref="AQ4:AT4"/>
    <mergeCell ref="AU4:BA4"/>
    <mergeCell ref="BB4:BO4"/>
    <mergeCell ref="AQ5:AT5"/>
    <mergeCell ref="AU5:BA5"/>
    <mergeCell ref="BB5:BF5"/>
    <mergeCell ref="BI5:BM5"/>
    <mergeCell ref="AQ6:AR6"/>
    <mergeCell ref="AT6:AW6"/>
    <mergeCell ref="BB6:BF6"/>
    <mergeCell ref="BI6:BM6"/>
    <mergeCell ref="W1:Z1"/>
    <mergeCell ref="AA1:AB1"/>
    <mergeCell ref="AD1:AG1"/>
    <mergeCell ref="AH1:AI1"/>
    <mergeCell ref="A2:E2"/>
    <mergeCell ref="F2:G2"/>
    <mergeCell ref="I2:L2"/>
    <mergeCell ref="M2:N2"/>
    <mergeCell ref="P2:Q2"/>
    <mergeCell ref="R2:U2"/>
    <mergeCell ref="A1:B1"/>
    <mergeCell ref="C1:G1"/>
    <mergeCell ref="I1:K1"/>
    <mergeCell ref="L1:N1"/>
    <mergeCell ref="P1:S1"/>
    <mergeCell ref="T1:U1"/>
    <mergeCell ref="A4:M4"/>
    <mergeCell ref="A5:M5"/>
    <mergeCell ref="N5:O5"/>
    <mergeCell ref="P5:Q5"/>
    <mergeCell ref="U5:X5"/>
    <mergeCell ref="R4:T4"/>
    <mergeCell ref="W2:Z2"/>
    <mergeCell ref="AA2:AB2"/>
    <mergeCell ref="N4:O4"/>
    <mergeCell ref="P4:Q4"/>
    <mergeCell ref="U4:X4"/>
    <mergeCell ref="R5:T5"/>
    <mergeCell ref="A8:M8"/>
    <mergeCell ref="N8:O8"/>
    <mergeCell ref="P8:Q8"/>
    <mergeCell ref="U8:X8"/>
    <mergeCell ref="A9:M9"/>
    <mergeCell ref="N9:O9"/>
    <mergeCell ref="P9:Q9"/>
    <mergeCell ref="U9:X9"/>
    <mergeCell ref="A6:M6"/>
    <mergeCell ref="N6:O6"/>
    <mergeCell ref="P6:Q6"/>
    <mergeCell ref="U6:X6"/>
    <mergeCell ref="A7:M7"/>
    <mergeCell ref="N7:O7"/>
    <mergeCell ref="P7:Q7"/>
    <mergeCell ref="U7:X7"/>
    <mergeCell ref="R6:T6"/>
    <mergeCell ref="R7:T7"/>
    <mergeCell ref="R8:T8"/>
    <mergeCell ref="R9:T9"/>
    <mergeCell ref="A12:M12"/>
    <mergeCell ref="N12:O12"/>
    <mergeCell ref="P12:Q12"/>
    <mergeCell ref="U12:X12"/>
    <mergeCell ref="A13:M13"/>
    <mergeCell ref="N13:O13"/>
    <mergeCell ref="P13:Q13"/>
    <mergeCell ref="U13:X13"/>
    <mergeCell ref="A10:M10"/>
    <mergeCell ref="N10:O10"/>
    <mergeCell ref="P10:Q10"/>
    <mergeCell ref="U10:X10"/>
    <mergeCell ref="A11:M11"/>
    <mergeCell ref="N11:O11"/>
    <mergeCell ref="P11:Q11"/>
    <mergeCell ref="U11:X11"/>
    <mergeCell ref="R10:T10"/>
    <mergeCell ref="R11:T11"/>
    <mergeCell ref="R12:T12"/>
    <mergeCell ref="R13:T13"/>
    <mergeCell ref="A16:M16"/>
    <mergeCell ref="N16:O16"/>
    <mergeCell ref="P16:Q16"/>
    <mergeCell ref="U16:X16"/>
    <mergeCell ref="A17:M17"/>
    <mergeCell ref="N17:O17"/>
    <mergeCell ref="P17:Q17"/>
    <mergeCell ref="U17:X17"/>
    <mergeCell ref="A14:M14"/>
    <mergeCell ref="N14:O14"/>
    <mergeCell ref="P14:Q14"/>
    <mergeCell ref="U14:X14"/>
    <mergeCell ref="A15:M15"/>
    <mergeCell ref="N15:O15"/>
    <mergeCell ref="P15:Q15"/>
    <mergeCell ref="U15:X15"/>
    <mergeCell ref="R17:T17"/>
    <mergeCell ref="R14:T14"/>
    <mergeCell ref="R15:T15"/>
    <mergeCell ref="R16:T16"/>
    <mergeCell ref="A20:M20"/>
    <mergeCell ref="N20:O20"/>
    <mergeCell ref="P20:Q20"/>
    <mergeCell ref="U20:X20"/>
    <mergeCell ref="A21:M21"/>
    <mergeCell ref="N21:O21"/>
    <mergeCell ref="P21:Q21"/>
    <mergeCell ref="U21:X21"/>
    <mergeCell ref="A18:M18"/>
    <mergeCell ref="N18:O18"/>
    <mergeCell ref="P18:Q18"/>
    <mergeCell ref="U18:X18"/>
    <mergeCell ref="A19:M19"/>
    <mergeCell ref="N19:O19"/>
    <mergeCell ref="P19:Q19"/>
    <mergeCell ref="U19:X19"/>
    <mergeCell ref="R18:T18"/>
    <mergeCell ref="R19:T19"/>
    <mergeCell ref="R20:T20"/>
    <mergeCell ref="R21:T21"/>
    <mergeCell ref="A24:M24"/>
    <mergeCell ref="N24:O24"/>
    <mergeCell ref="P24:Q24"/>
    <mergeCell ref="U24:X24"/>
    <mergeCell ref="A25:M25"/>
    <mergeCell ref="N25:O25"/>
    <mergeCell ref="P25:Q25"/>
    <mergeCell ref="U25:X25"/>
    <mergeCell ref="A22:M22"/>
    <mergeCell ref="N22:O22"/>
    <mergeCell ref="P22:Q22"/>
    <mergeCell ref="U22:X22"/>
    <mergeCell ref="A23:M23"/>
    <mergeCell ref="N23:O23"/>
    <mergeCell ref="P23:Q23"/>
    <mergeCell ref="U23:X23"/>
    <mergeCell ref="R22:T22"/>
    <mergeCell ref="R23:T23"/>
    <mergeCell ref="R24:T24"/>
    <mergeCell ref="R25:T25"/>
    <mergeCell ref="A28:M28"/>
    <mergeCell ref="N28:O28"/>
    <mergeCell ref="P28:Q28"/>
    <mergeCell ref="U28:X28"/>
    <mergeCell ref="A29:M29"/>
    <mergeCell ref="N29:O29"/>
    <mergeCell ref="P29:Q29"/>
    <mergeCell ref="U29:X29"/>
    <mergeCell ref="A26:M26"/>
    <mergeCell ref="N26:O26"/>
    <mergeCell ref="P26:Q26"/>
    <mergeCell ref="U26:X26"/>
    <mergeCell ref="A27:M27"/>
    <mergeCell ref="N27:O27"/>
    <mergeCell ref="P27:Q27"/>
    <mergeCell ref="U27:X27"/>
    <mergeCell ref="R29:T29"/>
    <mergeCell ref="R26:T26"/>
    <mergeCell ref="R27:T27"/>
    <mergeCell ref="R28:T28"/>
    <mergeCell ref="A32:M32"/>
    <mergeCell ref="N32:O32"/>
    <mergeCell ref="P32:Q32"/>
    <mergeCell ref="U32:X32"/>
    <mergeCell ref="A33:M33"/>
    <mergeCell ref="N33:O33"/>
    <mergeCell ref="P33:Q33"/>
    <mergeCell ref="U33:X33"/>
    <mergeCell ref="A30:M30"/>
    <mergeCell ref="N30:O30"/>
    <mergeCell ref="P30:Q30"/>
    <mergeCell ref="U30:X30"/>
    <mergeCell ref="A31:M31"/>
    <mergeCell ref="N31:O31"/>
    <mergeCell ref="P31:Q31"/>
    <mergeCell ref="U31:X31"/>
    <mergeCell ref="R30:T30"/>
    <mergeCell ref="R31:T31"/>
    <mergeCell ref="R32:T32"/>
    <mergeCell ref="R33:T33"/>
    <mergeCell ref="A36:M36"/>
    <mergeCell ref="N36:O36"/>
    <mergeCell ref="P36:Q36"/>
    <mergeCell ref="U36:X36"/>
    <mergeCell ref="A37:M37"/>
    <mergeCell ref="N37:O37"/>
    <mergeCell ref="P37:Q37"/>
    <mergeCell ref="U37:X37"/>
    <mergeCell ref="A34:M34"/>
    <mergeCell ref="N34:O34"/>
    <mergeCell ref="P34:Q34"/>
    <mergeCell ref="U34:X34"/>
    <mergeCell ref="A35:M35"/>
    <mergeCell ref="N35:O35"/>
    <mergeCell ref="P35:Q35"/>
    <mergeCell ref="U35:X35"/>
    <mergeCell ref="R34:T34"/>
    <mergeCell ref="R35:T35"/>
    <mergeCell ref="R36:T36"/>
    <mergeCell ref="R37:T37"/>
    <mergeCell ref="A40:M40"/>
    <mergeCell ref="N40:O40"/>
    <mergeCell ref="P40:Q40"/>
    <mergeCell ref="U40:X40"/>
    <mergeCell ref="A38:M38"/>
    <mergeCell ref="N38:O38"/>
    <mergeCell ref="P38:Q38"/>
    <mergeCell ref="U38:X38"/>
    <mergeCell ref="A39:M39"/>
    <mergeCell ref="N39:O39"/>
    <mergeCell ref="P39:Q39"/>
    <mergeCell ref="U39:X39"/>
    <mergeCell ref="R38:T38"/>
    <mergeCell ref="R39:T39"/>
    <mergeCell ref="R40:T40"/>
    <mergeCell ref="A42:M42"/>
    <mergeCell ref="N42:O42"/>
    <mergeCell ref="P42:Q42"/>
    <mergeCell ref="U42:X42"/>
    <mergeCell ref="A43:M43"/>
    <mergeCell ref="N43:O43"/>
    <mergeCell ref="P43:Q43"/>
    <mergeCell ref="U43:X43"/>
    <mergeCell ref="A41:M41"/>
    <mergeCell ref="N41:O41"/>
    <mergeCell ref="P41:Q41"/>
    <mergeCell ref="U41:X41"/>
    <mergeCell ref="R41:T41"/>
    <mergeCell ref="R42:T42"/>
    <mergeCell ref="R43:T43"/>
    <mergeCell ref="A44:M44"/>
    <mergeCell ref="N44:O44"/>
    <mergeCell ref="P44:Q44"/>
    <mergeCell ref="U44:X44"/>
    <mergeCell ref="A45:M45"/>
    <mergeCell ref="N45:O45"/>
    <mergeCell ref="P45:Q45"/>
    <mergeCell ref="U45:X45"/>
    <mergeCell ref="R44:T44"/>
    <mergeCell ref="R45:T45"/>
    <mergeCell ref="A49:M49"/>
    <mergeCell ref="N49:O49"/>
    <mergeCell ref="P49:Q49"/>
    <mergeCell ref="U49:X49"/>
    <mergeCell ref="R48:T48"/>
    <mergeCell ref="R49:T49"/>
    <mergeCell ref="R50:T50"/>
    <mergeCell ref="R51:T51"/>
    <mergeCell ref="A46:M46"/>
    <mergeCell ref="N46:O46"/>
    <mergeCell ref="P46:Q46"/>
    <mergeCell ref="U46:X46"/>
    <mergeCell ref="A47:M47"/>
    <mergeCell ref="N47:O47"/>
    <mergeCell ref="P47:Q47"/>
    <mergeCell ref="U47:X47"/>
    <mergeCell ref="R46:T46"/>
    <mergeCell ref="R47:T47"/>
    <mergeCell ref="A55:M55"/>
    <mergeCell ref="N55:O55"/>
    <mergeCell ref="P55:Q55"/>
    <mergeCell ref="U55:X55"/>
    <mergeCell ref="A52:M52"/>
    <mergeCell ref="N52:O52"/>
    <mergeCell ref="P52:Q52"/>
    <mergeCell ref="U52:X52"/>
    <mergeCell ref="A53:M53"/>
    <mergeCell ref="N53:O53"/>
    <mergeCell ref="P53:Q53"/>
    <mergeCell ref="U53:X53"/>
    <mergeCell ref="R53:T53"/>
    <mergeCell ref="R54:T54"/>
    <mergeCell ref="R55:T55"/>
    <mergeCell ref="R52:T52"/>
    <mergeCell ref="AL4:AO4"/>
    <mergeCell ref="Z4:AI4"/>
    <mergeCell ref="Z6:Z10"/>
    <mergeCell ref="AL5:AO5"/>
    <mergeCell ref="AJ5:AK5"/>
    <mergeCell ref="Z5:AI5"/>
    <mergeCell ref="AL6:AO6"/>
    <mergeCell ref="AJ4:AK4"/>
    <mergeCell ref="A54:M54"/>
    <mergeCell ref="N54:O54"/>
    <mergeCell ref="P54:Q54"/>
    <mergeCell ref="U54:X54"/>
    <mergeCell ref="A50:M50"/>
    <mergeCell ref="N50:O50"/>
    <mergeCell ref="P50:Q50"/>
    <mergeCell ref="U50:X50"/>
    <mergeCell ref="A51:M51"/>
    <mergeCell ref="N51:O51"/>
    <mergeCell ref="P51:Q51"/>
    <mergeCell ref="U51:X51"/>
    <mergeCell ref="A48:M48"/>
    <mergeCell ref="N48:O48"/>
    <mergeCell ref="P48:Q48"/>
    <mergeCell ref="U48:X48"/>
    <mergeCell ref="AL9:AO9"/>
    <mergeCell ref="AA10:AI10"/>
    <mergeCell ref="AJ10:AK10"/>
    <mergeCell ref="AL10:AO10"/>
    <mergeCell ref="AL16:AO16"/>
    <mergeCell ref="AL7:AO7"/>
    <mergeCell ref="AA8:AI8"/>
    <mergeCell ref="AJ8:AK8"/>
    <mergeCell ref="AL8:AO8"/>
    <mergeCell ref="AL17:AO17"/>
    <mergeCell ref="AA14:AI14"/>
    <mergeCell ref="AJ14:AK14"/>
    <mergeCell ref="AL14:AO14"/>
    <mergeCell ref="AA15:AI15"/>
    <mergeCell ref="AJ15:AK15"/>
    <mergeCell ref="AL15:AO15"/>
    <mergeCell ref="AL11:AO11"/>
    <mergeCell ref="Z12:Z16"/>
    <mergeCell ref="AA12:AI12"/>
    <mergeCell ref="AJ12:AK12"/>
    <mergeCell ref="AL12:AO12"/>
    <mergeCell ref="AA13:AI13"/>
    <mergeCell ref="AJ13:AK13"/>
    <mergeCell ref="AL13:AO13"/>
    <mergeCell ref="AL23:AO23"/>
    <mergeCell ref="Z24:Z28"/>
    <mergeCell ref="AA24:AI24"/>
    <mergeCell ref="AJ24:AK24"/>
    <mergeCell ref="AL24:AO24"/>
    <mergeCell ref="AA25:AI25"/>
    <mergeCell ref="AJ25:AK25"/>
    <mergeCell ref="AL25:AO25"/>
    <mergeCell ref="AA21:AI21"/>
    <mergeCell ref="AJ21:AK21"/>
    <mergeCell ref="AL21:AO21"/>
    <mergeCell ref="AA22:AI22"/>
    <mergeCell ref="AJ22:AK22"/>
    <mergeCell ref="AL22:AO22"/>
    <mergeCell ref="Z18:Z22"/>
    <mergeCell ref="AA18:AI18"/>
    <mergeCell ref="AJ18:AK18"/>
    <mergeCell ref="AL18:AO18"/>
    <mergeCell ref="AA19:AI19"/>
    <mergeCell ref="AJ19:AK19"/>
    <mergeCell ref="AL19:AO19"/>
    <mergeCell ref="AA20:AI20"/>
    <mergeCell ref="AJ20:AK20"/>
    <mergeCell ref="AL20:AO20"/>
    <mergeCell ref="AL28:AO28"/>
    <mergeCell ref="AJ30:AK30"/>
    <mergeCell ref="AL30:AO30"/>
    <mergeCell ref="Z30:AI30"/>
    <mergeCell ref="AA26:AI26"/>
    <mergeCell ref="AJ26:AK26"/>
    <mergeCell ref="AL26:AO26"/>
    <mergeCell ref="AA27:AI27"/>
    <mergeCell ref="AJ27:AK27"/>
    <mergeCell ref="AL27:AO27"/>
    <mergeCell ref="AA28:AI28"/>
    <mergeCell ref="AJ28:AK28"/>
    <mergeCell ref="AL33:AO33"/>
    <mergeCell ref="Z34:AI34"/>
    <mergeCell ref="AJ34:AK34"/>
    <mergeCell ref="AL34:AO34"/>
    <mergeCell ref="AL31:AO31"/>
    <mergeCell ref="AJ31:AK31"/>
    <mergeCell ref="Z31:AI31"/>
    <mergeCell ref="Z32:AI32"/>
    <mergeCell ref="AJ32:AK32"/>
    <mergeCell ref="AL32:AO32"/>
    <mergeCell ref="Z33:AI33"/>
    <mergeCell ref="AJ33:AK33"/>
    <mergeCell ref="Z23:AI23"/>
    <mergeCell ref="AJ23:AK23"/>
    <mergeCell ref="AA16:AI16"/>
    <mergeCell ref="AJ16:AK16"/>
    <mergeCell ref="Z11:AI11"/>
    <mergeCell ref="AJ11:AK11"/>
    <mergeCell ref="AJ6:AK6"/>
    <mergeCell ref="AA6:AI6"/>
    <mergeCell ref="AA7:AI7"/>
    <mergeCell ref="AJ7:AK7"/>
    <mergeCell ref="Z17:AI17"/>
    <mergeCell ref="AJ17:AK17"/>
    <mergeCell ref="AA9:AI9"/>
    <mergeCell ref="AJ9:AK9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DATA!$R$43:$R$48</xm:f>
          </x14:formula1>
          <xm:sqref>Z31:AI34</xm:sqref>
        </x14:dataValidation>
        <x14:dataValidation type="list" allowBlank="1" showInputMessage="1" showErrorMessage="1">
          <x14:formula1>
            <xm:f>DATA!$X$58:$X$66</xm:f>
          </x14:formula1>
          <xm:sqref>AU4:BA4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49"/>
  <sheetViews>
    <sheetView workbookViewId="0">
      <pane ySplit="2" topLeftCell="A3" activePane="bottomLeft" state="frozen"/>
      <selection pane="bottomLeft" activeCell="A5" sqref="A5:M5"/>
    </sheetView>
  </sheetViews>
  <sheetFormatPr defaultColWidth="3.42578125" defaultRowHeight="15" x14ac:dyDescent="0.25"/>
  <cols>
    <col min="1" max="1" width="3.42578125" style="123"/>
    <col min="2" max="30" width="3.42578125" style="121"/>
    <col min="31" max="31" width="3.42578125" style="121" customWidth="1"/>
    <col min="32" max="46" width="3.42578125" style="121"/>
    <col min="47" max="47" width="3.42578125" style="121" customWidth="1"/>
    <col min="48" max="62" width="3.42578125" style="121"/>
    <col min="63" max="64" width="3.42578125" style="121" customWidth="1"/>
    <col min="65" max="16384" width="3.42578125" style="121"/>
  </cols>
  <sheetData>
    <row r="1" spans="1:63" s="203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208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208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208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208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208" t="s">
        <v>56</v>
      </c>
    </row>
    <row r="2" spans="1:63" s="203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208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208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208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208" t="s">
        <v>56</v>
      </c>
      <c r="AJ2" s="208" t="s">
        <v>56</v>
      </c>
    </row>
    <row r="3" spans="1:63" s="203" customFormat="1" x14ac:dyDescent="0.25">
      <c r="A3" s="207"/>
      <c r="B3" s="207"/>
      <c r="C3" s="207"/>
      <c r="D3" s="207"/>
      <c r="E3" s="207"/>
      <c r="F3" s="205"/>
      <c r="G3" s="205"/>
      <c r="H3" s="208"/>
      <c r="I3" s="204"/>
      <c r="J3" s="204"/>
      <c r="K3" s="204"/>
      <c r="L3" s="204"/>
      <c r="M3" s="205"/>
      <c r="N3" s="205"/>
      <c r="O3" s="208"/>
      <c r="P3" s="204"/>
      <c r="Q3" s="204"/>
      <c r="R3" s="206"/>
      <c r="S3" s="206"/>
      <c r="T3" s="206"/>
      <c r="U3" s="206"/>
      <c r="V3" s="206"/>
      <c r="W3" s="206"/>
      <c r="X3" s="261" t="s">
        <v>414</v>
      </c>
      <c r="Y3" s="261"/>
      <c r="Z3" s="261" t="s">
        <v>232</v>
      </c>
      <c r="AA3" s="261"/>
      <c r="AB3" s="206"/>
      <c r="AC3" s="208"/>
      <c r="AF3" s="208"/>
      <c r="BA3" s="202"/>
      <c r="BB3" s="202"/>
      <c r="BC3" s="202"/>
      <c r="BD3" s="256" t="s">
        <v>414</v>
      </c>
      <c r="BE3" s="256"/>
      <c r="BF3" s="256" t="s">
        <v>232</v>
      </c>
      <c r="BG3" s="256"/>
    </row>
    <row r="4" spans="1:63" x14ac:dyDescent="0.25">
      <c r="A4" s="344" t="s">
        <v>384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263" t="s">
        <v>333</v>
      </c>
      <c r="O4" s="263"/>
      <c r="P4" s="302" t="s">
        <v>186</v>
      </c>
      <c r="Q4" s="303"/>
      <c r="R4" s="319"/>
      <c r="S4" s="304" t="s">
        <v>385</v>
      </c>
      <c r="T4" s="279"/>
      <c r="U4" s="279" t="s">
        <v>414</v>
      </c>
      <c r="V4" s="279"/>
      <c r="W4" s="279"/>
      <c r="X4" s="279" t="s">
        <v>385</v>
      </c>
      <c r="Y4" s="279"/>
      <c r="Z4" s="279" t="s">
        <v>421</v>
      </c>
      <c r="AA4" s="279"/>
      <c r="AB4" s="343" t="s">
        <v>386</v>
      </c>
      <c r="AC4" s="343"/>
      <c r="AD4" s="343"/>
      <c r="AE4" s="343"/>
      <c r="AG4" s="344" t="s">
        <v>387</v>
      </c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263" t="s">
        <v>333</v>
      </c>
      <c r="AU4" s="263"/>
      <c r="AV4" s="256" t="s">
        <v>186</v>
      </c>
      <c r="AW4" s="256"/>
      <c r="AX4" s="256"/>
      <c r="AY4" s="263" t="s">
        <v>385</v>
      </c>
      <c r="AZ4" s="263"/>
      <c r="BA4" s="256" t="s">
        <v>414</v>
      </c>
      <c r="BB4" s="256"/>
      <c r="BC4" s="256"/>
      <c r="BD4" s="256" t="s">
        <v>385</v>
      </c>
      <c r="BE4" s="256"/>
      <c r="BF4" s="256" t="s">
        <v>421</v>
      </c>
      <c r="BG4" s="256"/>
      <c r="BH4" s="251" t="s">
        <v>386</v>
      </c>
      <c r="BI4" s="251"/>
      <c r="BJ4" s="251"/>
      <c r="BK4" s="251"/>
    </row>
    <row r="5" spans="1:63" x14ac:dyDescent="0.2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27"/>
      <c r="O5" s="291"/>
      <c r="P5" s="335"/>
      <c r="Q5" s="336"/>
      <c r="R5" s="337"/>
      <c r="S5" s="291"/>
      <c r="T5" s="275"/>
      <c r="U5" s="338"/>
      <c r="V5" s="339"/>
      <c r="W5" s="340"/>
      <c r="X5" s="341">
        <f>IF(U5="Alphaware", S5*0.8, IF(U5="Betaware", S5*0.7, IF(U5="Deltaware", S5*0.5, IF(U5="Used", S5*1.25, S5))))</f>
        <v>0</v>
      </c>
      <c r="Y5" s="342"/>
      <c r="Z5" s="341">
        <f>IF(ISBLANK(U5), 1, VLOOKUP(U5, DATA!$AF$43:$AL$47, 6, FALSE))</f>
        <v>1</v>
      </c>
      <c r="AA5" s="342"/>
      <c r="AB5" s="345">
        <f>IF(ISBLANK(N5), P5*Z5, (P5*N5)*Z5)</f>
        <v>0</v>
      </c>
      <c r="AC5" s="346"/>
      <c r="AD5" s="346"/>
      <c r="AE5" s="34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27"/>
      <c r="AU5" s="291"/>
      <c r="AV5" s="324"/>
      <c r="AW5" s="324"/>
      <c r="AX5" s="324"/>
      <c r="AY5" s="275"/>
      <c r="AZ5" s="291"/>
      <c r="BA5" s="307"/>
      <c r="BB5" s="307"/>
      <c r="BC5" s="307"/>
      <c r="BD5" s="228">
        <f>IF(BA5="Alphaware", AY5*0.8, IF(BA5="Betaware", AY5*0.7, IF(BA5="Deltaware", AY5*0.5, IF(BA5="Used", AY5*1.25, AY5))))</f>
        <v>0</v>
      </c>
      <c r="BE5" s="228"/>
      <c r="BF5" s="228">
        <f>IF(ISBLANK(BA5), 1, VLOOKUP(BA5, DATA!$AF$43:$AL$47, 6, FALSE))</f>
        <v>1</v>
      </c>
      <c r="BG5" s="228"/>
      <c r="BH5" s="231">
        <f>IF(ISBLANK(AT5), AV5*BF5, (AV5*AT5)*BF5)</f>
        <v>0</v>
      </c>
      <c r="BI5" s="231"/>
      <c r="BJ5" s="231"/>
      <c r="BK5" s="231"/>
    </row>
    <row r="6" spans="1:63" x14ac:dyDescent="0.2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27"/>
      <c r="O6" s="291"/>
      <c r="P6" s="335"/>
      <c r="Q6" s="336"/>
      <c r="R6" s="337"/>
      <c r="S6" s="291"/>
      <c r="T6" s="275"/>
      <c r="U6" s="338"/>
      <c r="V6" s="339"/>
      <c r="W6" s="340"/>
      <c r="X6" s="341">
        <f t="shared" ref="X6:X43" si="0">IF(U6="Alphaware", S6*0.8, IF(U6="Betaware", S6*0.7, IF(U6="Deltaware", S6*0.5, IF(U6="Used", S6*1.25, S6))))</f>
        <v>0</v>
      </c>
      <c r="Y6" s="342"/>
      <c r="Z6" s="341">
        <f>IF(ISBLANK(U6), 1, VLOOKUP(U6, DATA!$AF$43:$AL$47, 6, FALSE))</f>
        <v>1</v>
      </c>
      <c r="AA6" s="342"/>
      <c r="AB6" s="345">
        <f t="shared" ref="AB6:AB32" si="1">IF(ISBLANK(N6), P6*Z6, (P6*N6)*Z6)</f>
        <v>0</v>
      </c>
      <c r="AC6" s="346"/>
      <c r="AD6" s="346"/>
      <c r="AE6" s="34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27"/>
      <c r="AU6" s="291"/>
      <c r="AV6" s="324"/>
      <c r="AW6" s="324"/>
      <c r="AX6" s="324"/>
      <c r="AY6" s="275"/>
      <c r="AZ6" s="291"/>
      <c r="BA6" s="307"/>
      <c r="BB6" s="307"/>
      <c r="BC6" s="307"/>
      <c r="BD6" s="228">
        <f>IF(BA6="Alphaware", AY6*0.8, IF(BA6="Betaware", AY6*0.7, IF(BA6="Deltaware", AY6*0.5, IF(BA6="Used", AY6*1.25, AY6))))</f>
        <v>0</v>
      </c>
      <c r="BE6" s="228"/>
      <c r="BF6" s="228">
        <f>IF(ISBLANK(BA6), 1, VLOOKUP(BA6, DATA!$AF$43:$AL$47, 6, FALSE))</f>
        <v>1</v>
      </c>
      <c r="BG6" s="228"/>
      <c r="BH6" s="231">
        <f t="shared" ref="BH6:BH43" si="2">IF(ISBLANK(AT6), AV6*BF6, (AV6*AT6)*BF6)</f>
        <v>0</v>
      </c>
      <c r="BI6" s="231"/>
      <c r="BJ6" s="231"/>
      <c r="BK6" s="231"/>
    </row>
    <row r="7" spans="1:63" x14ac:dyDescent="0.25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27"/>
      <c r="O7" s="291"/>
      <c r="P7" s="335"/>
      <c r="Q7" s="336"/>
      <c r="R7" s="337"/>
      <c r="S7" s="291"/>
      <c r="T7" s="275"/>
      <c r="U7" s="338"/>
      <c r="V7" s="339"/>
      <c r="W7" s="340"/>
      <c r="X7" s="341">
        <f t="shared" si="0"/>
        <v>0</v>
      </c>
      <c r="Y7" s="342"/>
      <c r="Z7" s="341">
        <f>IF(ISBLANK(U7), 1, VLOOKUP(U7, DATA!$AF$43:$AL$47, 6, FALSE))</f>
        <v>1</v>
      </c>
      <c r="AA7" s="342"/>
      <c r="AB7" s="345">
        <f t="shared" si="1"/>
        <v>0</v>
      </c>
      <c r="AC7" s="346"/>
      <c r="AD7" s="346"/>
      <c r="AE7" s="34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27"/>
      <c r="AU7" s="291"/>
      <c r="AV7" s="324"/>
      <c r="AW7" s="324"/>
      <c r="AX7" s="324"/>
      <c r="AY7" s="275"/>
      <c r="AZ7" s="291"/>
      <c r="BA7" s="307"/>
      <c r="BB7" s="307"/>
      <c r="BC7" s="307"/>
      <c r="BD7" s="228">
        <f t="shared" ref="BD7:BD43" si="3">IF(BA7="Alphaware", AY7*0.8, IF(BA7="Betaware", AY7*0.7, IF(BA7="Deltaware", AY7*0.5, IF(BA7="Used", AY7*1.25, AY7))))</f>
        <v>0</v>
      </c>
      <c r="BE7" s="228"/>
      <c r="BF7" s="228">
        <f>IF(ISBLANK(BA7), 1, VLOOKUP(BA7, DATA!$AF$43:$AL$47, 6, FALSE))</f>
        <v>1</v>
      </c>
      <c r="BG7" s="228"/>
      <c r="BH7" s="231">
        <f t="shared" si="2"/>
        <v>0</v>
      </c>
      <c r="BI7" s="231"/>
      <c r="BJ7" s="231"/>
      <c r="BK7" s="231"/>
    </row>
    <row r="8" spans="1:63" x14ac:dyDescent="0.2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27"/>
      <c r="O8" s="291"/>
      <c r="P8" s="335"/>
      <c r="Q8" s="336"/>
      <c r="R8" s="337"/>
      <c r="S8" s="291"/>
      <c r="T8" s="275"/>
      <c r="U8" s="338"/>
      <c r="V8" s="339"/>
      <c r="W8" s="340"/>
      <c r="X8" s="341">
        <f t="shared" si="0"/>
        <v>0</v>
      </c>
      <c r="Y8" s="342"/>
      <c r="Z8" s="341">
        <f>IF(ISBLANK(U8), 1, VLOOKUP(U8, DATA!$AF$43:$AL$47, 6, FALSE))</f>
        <v>1</v>
      </c>
      <c r="AA8" s="342"/>
      <c r="AB8" s="345">
        <f t="shared" si="1"/>
        <v>0</v>
      </c>
      <c r="AC8" s="346"/>
      <c r="AD8" s="346"/>
      <c r="AE8" s="34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27"/>
      <c r="AU8" s="291"/>
      <c r="AV8" s="324"/>
      <c r="AW8" s="324"/>
      <c r="AX8" s="324"/>
      <c r="AY8" s="275"/>
      <c r="AZ8" s="291"/>
      <c r="BA8" s="307"/>
      <c r="BB8" s="307"/>
      <c r="BC8" s="307"/>
      <c r="BD8" s="228">
        <f t="shared" si="3"/>
        <v>0</v>
      </c>
      <c r="BE8" s="228"/>
      <c r="BF8" s="228">
        <f>IF(ISBLANK(BA8), 1, VLOOKUP(BA8, DATA!$AF$43:$AL$47, 6, FALSE))</f>
        <v>1</v>
      </c>
      <c r="BG8" s="228"/>
      <c r="BH8" s="231">
        <f t="shared" si="2"/>
        <v>0</v>
      </c>
      <c r="BI8" s="231"/>
      <c r="BJ8" s="231"/>
      <c r="BK8" s="231"/>
    </row>
    <row r="9" spans="1:63" x14ac:dyDescent="0.25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27"/>
      <c r="O9" s="291"/>
      <c r="P9" s="335"/>
      <c r="Q9" s="336"/>
      <c r="R9" s="337"/>
      <c r="S9" s="291"/>
      <c r="T9" s="275"/>
      <c r="U9" s="338"/>
      <c r="V9" s="339"/>
      <c r="W9" s="340"/>
      <c r="X9" s="341">
        <f t="shared" si="0"/>
        <v>0</v>
      </c>
      <c r="Y9" s="342"/>
      <c r="Z9" s="341">
        <f>IF(ISBLANK(U9), 1, VLOOKUP(U9, DATA!$AF$43:$AL$47, 6, FALSE))</f>
        <v>1</v>
      </c>
      <c r="AA9" s="342"/>
      <c r="AB9" s="345">
        <f t="shared" si="1"/>
        <v>0</v>
      </c>
      <c r="AC9" s="346"/>
      <c r="AD9" s="346"/>
      <c r="AE9" s="34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27"/>
      <c r="AU9" s="291"/>
      <c r="AV9" s="324"/>
      <c r="AW9" s="324"/>
      <c r="AX9" s="324"/>
      <c r="AY9" s="275"/>
      <c r="AZ9" s="291"/>
      <c r="BA9" s="307"/>
      <c r="BB9" s="307"/>
      <c r="BC9" s="307"/>
      <c r="BD9" s="228">
        <f t="shared" si="3"/>
        <v>0</v>
      </c>
      <c r="BE9" s="228"/>
      <c r="BF9" s="228">
        <f>IF(ISBLANK(BA9), 1, VLOOKUP(BA9, DATA!$AF$43:$AL$47, 6, FALSE))</f>
        <v>1</v>
      </c>
      <c r="BG9" s="228"/>
      <c r="BH9" s="231">
        <f t="shared" si="2"/>
        <v>0</v>
      </c>
      <c r="BI9" s="231"/>
      <c r="BJ9" s="231"/>
      <c r="BK9" s="231"/>
    </row>
    <row r="10" spans="1:63" x14ac:dyDescent="0.25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27"/>
      <c r="O10" s="291"/>
      <c r="P10" s="335"/>
      <c r="Q10" s="336"/>
      <c r="R10" s="337"/>
      <c r="S10" s="291"/>
      <c r="T10" s="275"/>
      <c r="U10" s="338"/>
      <c r="V10" s="339"/>
      <c r="W10" s="340"/>
      <c r="X10" s="341">
        <f t="shared" si="0"/>
        <v>0</v>
      </c>
      <c r="Y10" s="342"/>
      <c r="Z10" s="341">
        <f>IF(ISBLANK(U10), 1, VLOOKUP(U10, DATA!$AF$43:$AL$47, 6, FALSE))</f>
        <v>1</v>
      </c>
      <c r="AA10" s="342"/>
      <c r="AB10" s="345">
        <f t="shared" si="1"/>
        <v>0</v>
      </c>
      <c r="AC10" s="346"/>
      <c r="AD10" s="346"/>
      <c r="AE10" s="34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27"/>
      <c r="AU10" s="291"/>
      <c r="AV10" s="324"/>
      <c r="AW10" s="324"/>
      <c r="AX10" s="324"/>
      <c r="AY10" s="275"/>
      <c r="AZ10" s="291"/>
      <c r="BA10" s="307"/>
      <c r="BB10" s="307"/>
      <c r="BC10" s="307"/>
      <c r="BD10" s="228">
        <f t="shared" si="3"/>
        <v>0</v>
      </c>
      <c r="BE10" s="228"/>
      <c r="BF10" s="228">
        <f>IF(ISBLANK(BA10), 1, VLOOKUP(BA10, DATA!$AF$43:$AL$47, 6, FALSE))</f>
        <v>1</v>
      </c>
      <c r="BG10" s="228"/>
      <c r="BH10" s="231">
        <f t="shared" si="2"/>
        <v>0</v>
      </c>
      <c r="BI10" s="231"/>
      <c r="BJ10" s="231"/>
      <c r="BK10" s="231"/>
    </row>
    <row r="11" spans="1:63" x14ac:dyDescent="0.25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27"/>
      <c r="O11" s="291"/>
      <c r="P11" s="335"/>
      <c r="Q11" s="336"/>
      <c r="R11" s="337"/>
      <c r="S11" s="291"/>
      <c r="T11" s="275"/>
      <c r="U11" s="338"/>
      <c r="V11" s="339"/>
      <c r="W11" s="340"/>
      <c r="X11" s="341">
        <f t="shared" si="0"/>
        <v>0</v>
      </c>
      <c r="Y11" s="342"/>
      <c r="Z11" s="341">
        <f>IF(ISBLANK(U11), 1, VLOOKUP(U11, DATA!$AF$43:$AL$47, 6, FALSE))</f>
        <v>1</v>
      </c>
      <c r="AA11" s="342"/>
      <c r="AB11" s="345">
        <f t="shared" si="1"/>
        <v>0</v>
      </c>
      <c r="AC11" s="346"/>
      <c r="AD11" s="346"/>
      <c r="AE11" s="34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27"/>
      <c r="AU11" s="291"/>
      <c r="AV11" s="324"/>
      <c r="AW11" s="324"/>
      <c r="AX11" s="324"/>
      <c r="AY11" s="275"/>
      <c r="AZ11" s="291"/>
      <c r="BA11" s="307"/>
      <c r="BB11" s="307"/>
      <c r="BC11" s="307"/>
      <c r="BD11" s="228">
        <f t="shared" si="3"/>
        <v>0</v>
      </c>
      <c r="BE11" s="228"/>
      <c r="BF11" s="228">
        <f>IF(ISBLANK(BA11), 1, VLOOKUP(BA11, DATA!$AF$43:$AL$47, 6, FALSE))</f>
        <v>1</v>
      </c>
      <c r="BG11" s="228"/>
      <c r="BH11" s="231">
        <f t="shared" si="2"/>
        <v>0</v>
      </c>
      <c r="BI11" s="231"/>
      <c r="BJ11" s="231"/>
      <c r="BK11" s="231"/>
    </row>
    <row r="12" spans="1:63" x14ac:dyDescent="0.25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27"/>
      <c r="O12" s="291"/>
      <c r="P12" s="335"/>
      <c r="Q12" s="336"/>
      <c r="R12" s="337"/>
      <c r="S12" s="291"/>
      <c r="T12" s="275"/>
      <c r="U12" s="338"/>
      <c r="V12" s="339"/>
      <c r="W12" s="340"/>
      <c r="X12" s="341">
        <f t="shared" si="0"/>
        <v>0</v>
      </c>
      <c r="Y12" s="342"/>
      <c r="Z12" s="341">
        <f>IF(ISBLANK(U12), 1, VLOOKUP(U12, DATA!$AF$43:$AL$47, 6, FALSE))</f>
        <v>1</v>
      </c>
      <c r="AA12" s="342"/>
      <c r="AB12" s="345">
        <f t="shared" si="1"/>
        <v>0</v>
      </c>
      <c r="AC12" s="346"/>
      <c r="AD12" s="346"/>
      <c r="AE12" s="34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27"/>
      <c r="AU12" s="291"/>
      <c r="AV12" s="324"/>
      <c r="AW12" s="324"/>
      <c r="AX12" s="324"/>
      <c r="AY12" s="275"/>
      <c r="AZ12" s="291"/>
      <c r="BA12" s="307"/>
      <c r="BB12" s="307"/>
      <c r="BC12" s="307"/>
      <c r="BD12" s="228">
        <f t="shared" si="3"/>
        <v>0</v>
      </c>
      <c r="BE12" s="228"/>
      <c r="BF12" s="228">
        <f>IF(ISBLANK(BA12), 1, VLOOKUP(BA12, DATA!$AF$43:$AL$47, 6, FALSE))</f>
        <v>1</v>
      </c>
      <c r="BG12" s="228"/>
      <c r="BH12" s="231">
        <f t="shared" si="2"/>
        <v>0</v>
      </c>
      <c r="BI12" s="231"/>
      <c r="BJ12" s="231"/>
      <c r="BK12" s="231"/>
    </row>
    <row r="13" spans="1:63" x14ac:dyDescent="0.2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27"/>
      <c r="O13" s="291"/>
      <c r="P13" s="335"/>
      <c r="Q13" s="336"/>
      <c r="R13" s="337"/>
      <c r="S13" s="291"/>
      <c r="T13" s="275"/>
      <c r="U13" s="338"/>
      <c r="V13" s="339"/>
      <c r="W13" s="340"/>
      <c r="X13" s="341">
        <f t="shared" si="0"/>
        <v>0</v>
      </c>
      <c r="Y13" s="342"/>
      <c r="Z13" s="341">
        <f>IF(ISBLANK(U13), 1, VLOOKUP(U13, DATA!$AF$43:$AL$47, 6, FALSE))</f>
        <v>1</v>
      </c>
      <c r="AA13" s="342"/>
      <c r="AB13" s="345">
        <f t="shared" si="1"/>
        <v>0</v>
      </c>
      <c r="AC13" s="346"/>
      <c r="AD13" s="346"/>
      <c r="AE13" s="34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27"/>
      <c r="AU13" s="291"/>
      <c r="AV13" s="324"/>
      <c r="AW13" s="324"/>
      <c r="AX13" s="324"/>
      <c r="AY13" s="275"/>
      <c r="AZ13" s="291"/>
      <c r="BA13" s="307"/>
      <c r="BB13" s="307"/>
      <c r="BC13" s="307"/>
      <c r="BD13" s="228">
        <f t="shared" si="3"/>
        <v>0</v>
      </c>
      <c r="BE13" s="228"/>
      <c r="BF13" s="228">
        <f>IF(ISBLANK(BA13), 1, VLOOKUP(BA13, DATA!$AF$43:$AL$47, 6, FALSE))</f>
        <v>1</v>
      </c>
      <c r="BG13" s="228"/>
      <c r="BH13" s="231">
        <f t="shared" si="2"/>
        <v>0</v>
      </c>
      <c r="BI13" s="231"/>
      <c r="BJ13" s="231"/>
      <c r="BK13" s="231"/>
    </row>
    <row r="14" spans="1:63" x14ac:dyDescent="0.25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27"/>
      <c r="O14" s="291"/>
      <c r="P14" s="335"/>
      <c r="Q14" s="336"/>
      <c r="R14" s="337"/>
      <c r="S14" s="291"/>
      <c r="T14" s="275"/>
      <c r="U14" s="338"/>
      <c r="V14" s="339"/>
      <c r="W14" s="340"/>
      <c r="X14" s="341">
        <f t="shared" si="0"/>
        <v>0</v>
      </c>
      <c r="Y14" s="342"/>
      <c r="Z14" s="341">
        <f>IF(ISBLANK(U14), 1, VLOOKUP(U14, DATA!$AF$43:$AL$47, 6, FALSE))</f>
        <v>1</v>
      </c>
      <c r="AA14" s="342"/>
      <c r="AB14" s="345">
        <f t="shared" si="1"/>
        <v>0</v>
      </c>
      <c r="AC14" s="346"/>
      <c r="AD14" s="346"/>
      <c r="AE14" s="34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27"/>
      <c r="AU14" s="291"/>
      <c r="AV14" s="324"/>
      <c r="AW14" s="324"/>
      <c r="AX14" s="324"/>
      <c r="AY14" s="275"/>
      <c r="AZ14" s="291"/>
      <c r="BA14" s="307"/>
      <c r="BB14" s="307"/>
      <c r="BC14" s="307"/>
      <c r="BD14" s="228">
        <f t="shared" si="3"/>
        <v>0</v>
      </c>
      <c r="BE14" s="228"/>
      <c r="BF14" s="228">
        <f>IF(ISBLANK(BA14), 1, VLOOKUP(BA14, DATA!$AF$43:$AL$47, 6, FALSE))</f>
        <v>1</v>
      </c>
      <c r="BG14" s="228"/>
      <c r="BH14" s="231">
        <f t="shared" si="2"/>
        <v>0</v>
      </c>
      <c r="BI14" s="231"/>
      <c r="BJ14" s="231"/>
      <c r="BK14" s="231"/>
    </row>
    <row r="15" spans="1:63" x14ac:dyDescent="0.25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27"/>
      <c r="O15" s="291"/>
      <c r="P15" s="335"/>
      <c r="Q15" s="336"/>
      <c r="R15" s="337"/>
      <c r="S15" s="291"/>
      <c r="T15" s="275"/>
      <c r="U15" s="338"/>
      <c r="V15" s="339"/>
      <c r="W15" s="340"/>
      <c r="X15" s="341">
        <f t="shared" si="0"/>
        <v>0</v>
      </c>
      <c r="Y15" s="342"/>
      <c r="Z15" s="341">
        <f>IF(ISBLANK(U15), 1, VLOOKUP(U15, DATA!$AF$43:$AL$47, 6, FALSE))</f>
        <v>1</v>
      </c>
      <c r="AA15" s="342"/>
      <c r="AB15" s="345">
        <f t="shared" si="1"/>
        <v>0</v>
      </c>
      <c r="AC15" s="346"/>
      <c r="AD15" s="346"/>
      <c r="AE15" s="34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27"/>
      <c r="AU15" s="291"/>
      <c r="AV15" s="324"/>
      <c r="AW15" s="324"/>
      <c r="AX15" s="324"/>
      <c r="AY15" s="275"/>
      <c r="AZ15" s="291"/>
      <c r="BA15" s="307"/>
      <c r="BB15" s="307"/>
      <c r="BC15" s="307"/>
      <c r="BD15" s="228">
        <f t="shared" si="3"/>
        <v>0</v>
      </c>
      <c r="BE15" s="228"/>
      <c r="BF15" s="228">
        <f>IF(ISBLANK(BA15), 1, VLOOKUP(BA15, DATA!$AF$43:$AL$47, 6, FALSE))</f>
        <v>1</v>
      </c>
      <c r="BG15" s="228"/>
      <c r="BH15" s="231">
        <f t="shared" si="2"/>
        <v>0</v>
      </c>
      <c r="BI15" s="231"/>
      <c r="BJ15" s="231"/>
      <c r="BK15" s="231"/>
    </row>
    <row r="16" spans="1:63" x14ac:dyDescent="0.25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27"/>
      <c r="O16" s="291"/>
      <c r="P16" s="335"/>
      <c r="Q16" s="336"/>
      <c r="R16" s="337"/>
      <c r="S16" s="291"/>
      <c r="T16" s="275"/>
      <c r="U16" s="338"/>
      <c r="V16" s="339"/>
      <c r="W16" s="340"/>
      <c r="X16" s="341">
        <f t="shared" si="0"/>
        <v>0</v>
      </c>
      <c r="Y16" s="342"/>
      <c r="Z16" s="341">
        <f>IF(ISBLANK(U16), 1, VLOOKUP(U16, DATA!$AF$43:$AL$47, 6, FALSE))</f>
        <v>1</v>
      </c>
      <c r="AA16" s="342"/>
      <c r="AB16" s="345">
        <f t="shared" si="1"/>
        <v>0</v>
      </c>
      <c r="AC16" s="346"/>
      <c r="AD16" s="346"/>
      <c r="AE16" s="34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27"/>
      <c r="AU16" s="291"/>
      <c r="AV16" s="324"/>
      <c r="AW16" s="324"/>
      <c r="AX16" s="324"/>
      <c r="AY16" s="275"/>
      <c r="AZ16" s="291"/>
      <c r="BA16" s="307"/>
      <c r="BB16" s="307"/>
      <c r="BC16" s="307"/>
      <c r="BD16" s="228">
        <f t="shared" si="3"/>
        <v>0</v>
      </c>
      <c r="BE16" s="228"/>
      <c r="BF16" s="228">
        <f>IF(ISBLANK(BA16), 1, VLOOKUP(BA16, DATA!$AF$43:$AL$47, 6, FALSE))</f>
        <v>1</v>
      </c>
      <c r="BG16" s="228"/>
      <c r="BH16" s="231">
        <f t="shared" si="2"/>
        <v>0</v>
      </c>
      <c r="BI16" s="231"/>
      <c r="BJ16" s="231"/>
      <c r="BK16" s="231"/>
    </row>
    <row r="17" spans="1:63" x14ac:dyDescent="0.2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27"/>
      <c r="O17" s="291"/>
      <c r="P17" s="335"/>
      <c r="Q17" s="336"/>
      <c r="R17" s="337"/>
      <c r="S17" s="291"/>
      <c r="T17" s="275"/>
      <c r="U17" s="338"/>
      <c r="V17" s="339"/>
      <c r="W17" s="340"/>
      <c r="X17" s="341">
        <f t="shared" si="0"/>
        <v>0</v>
      </c>
      <c r="Y17" s="342"/>
      <c r="Z17" s="341">
        <f>IF(ISBLANK(U17), 1, VLOOKUP(U17, DATA!$AF$43:$AL$47, 6, FALSE))</f>
        <v>1</v>
      </c>
      <c r="AA17" s="342"/>
      <c r="AB17" s="345">
        <f t="shared" si="1"/>
        <v>0</v>
      </c>
      <c r="AC17" s="346"/>
      <c r="AD17" s="346"/>
      <c r="AE17" s="34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27"/>
      <c r="AU17" s="291"/>
      <c r="AV17" s="324"/>
      <c r="AW17" s="324"/>
      <c r="AX17" s="324"/>
      <c r="AY17" s="275"/>
      <c r="AZ17" s="291"/>
      <c r="BA17" s="307"/>
      <c r="BB17" s="307"/>
      <c r="BC17" s="307"/>
      <c r="BD17" s="228">
        <f t="shared" si="3"/>
        <v>0</v>
      </c>
      <c r="BE17" s="228"/>
      <c r="BF17" s="228">
        <f>IF(ISBLANK(BA17), 1, VLOOKUP(BA17, DATA!$AF$43:$AL$47, 6, FALSE))</f>
        <v>1</v>
      </c>
      <c r="BG17" s="228"/>
      <c r="BH17" s="231">
        <f t="shared" si="2"/>
        <v>0</v>
      </c>
      <c r="BI17" s="231"/>
      <c r="BJ17" s="231"/>
      <c r="BK17" s="231"/>
    </row>
    <row r="18" spans="1:63" x14ac:dyDescent="0.25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27"/>
      <c r="O18" s="291"/>
      <c r="P18" s="335"/>
      <c r="Q18" s="336"/>
      <c r="R18" s="337"/>
      <c r="S18" s="291"/>
      <c r="T18" s="275"/>
      <c r="U18" s="338"/>
      <c r="V18" s="339"/>
      <c r="W18" s="340"/>
      <c r="X18" s="341">
        <f t="shared" si="0"/>
        <v>0</v>
      </c>
      <c r="Y18" s="342"/>
      <c r="Z18" s="341">
        <f>IF(ISBLANK(U18), 1, VLOOKUP(U18, DATA!$AF$43:$AL$47, 6, FALSE))</f>
        <v>1</v>
      </c>
      <c r="AA18" s="342"/>
      <c r="AB18" s="345">
        <f t="shared" si="1"/>
        <v>0</v>
      </c>
      <c r="AC18" s="346"/>
      <c r="AD18" s="346"/>
      <c r="AE18" s="34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27"/>
      <c r="AU18" s="291"/>
      <c r="AV18" s="324"/>
      <c r="AW18" s="324"/>
      <c r="AX18" s="324"/>
      <c r="AY18" s="275"/>
      <c r="AZ18" s="291"/>
      <c r="BA18" s="307"/>
      <c r="BB18" s="307"/>
      <c r="BC18" s="307"/>
      <c r="BD18" s="228">
        <f t="shared" si="3"/>
        <v>0</v>
      </c>
      <c r="BE18" s="228"/>
      <c r="BF18" s="228">
        <f>IF(ISBLANK(BA18), 1, VLOOKUP(BA18, DATA!$AF$43:$AL$47, 6, FALSE))</f>
        <v>1</v>
      </c>
      <c r="BG18" s="228"/>
      <c r="BH18" s="231">
        <f t="shared" si="2"/>
        <v>0</v>
      </c>
      <c r="BI18" s="231"/>
      <c r="BJ18" s="231"/>
      <c r="BK18" s="231"/>
    </row>
    <row r="19" spans="1:63" x14ac:dyDescent="0.25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27"/>
      <c r="O19" s="291"/>
      <c r="P19" s="335"/>
      <c r="Q19" s="336"/>
      <c r="R19" s="337"/>
      <c r="S19" s="291"/>
      <c r="T19" s="275"/>
      <c r="U19" s="338"/>
      <c r="V19" s="339"/>
      <c r="W19" s="340"/>
      <c r="X19" s="341">
        <f t="shared" si="0"/>
        <v>0</v>
      </c>
      <c r="Y19" s="342"/>
      <c r="Z19" s="341">
        <f>IF(ISBLANK(U19), 1, VLOOKUP(U19, DATA!$AF$43:$AL$47, 6, FALSE))</f>
        <v>1</v>
      </c>
      <c r="AA19" s="342"/>
      <c r="AB19" s="345">
        <f t="shared" si="1"/>
        <v>0</v>
      </c>
      <c r="AC19" s="346"/>
      <c r="AD19" s="346"/>
      <c r="AE19" s="34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27"/>
      <c r="AU19" s="291"/>
      <c r="AV19" s="324"/>
      <c r="AW19" s="324"/>
      <c r="AX19" s="324"/>
      <c r="AY19" s="275"/>
      <c r="AZ19" s="291"/>
      <c r="BA19" s="307"/>
      <c r="BB19" s="307"/>
      <c r="BC19" s="307"/>
      <c r="BD19" s="228">
        <f t="shared" si="3"/>
        <v>0</v>
      </c>
      <c r="BE19" s="228"/>
      <c r="BF19" s="228">
        <f>IF(ISBLANK(BA19), 1, VLOOKUP(BA19, DATA!$AF$43:$AL$47, 6, FALSE))</f>
        <v>1</v>
      </c>
      <c r="BG19" s="228"/>
      <c r="BH19" s="231">
        <f t="shared" si="2"/>
        <v>0</v>
      </c>
      <c r="BI19" s="231"/>
      <c r="BJ19" s="231"/>
      <c r="BK19" s="231"/>
    </row>
    <row r="20" spans="1:63" x14ac:dyDescent="0.25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27"/>
      <c r="O20" s="291"/>
      <c r="P20" s="335"/>
      <c r="Q20" s="336"/>
      <c r="R20" s="337"/>
      <c r="S20" s="291"/>
      <c r="T20" s="275"/>
      <c r="U20" s="338"/>
      <c r="V20" s="339"/>
      <c r="W20" s="340"/>
      <c r="X20" s="341">
        <f t="shared" si="0"/>
        <v>0</v>
      </c>
      <c r="Y20" s="342"/>
      <c r="Z20" s="341">
        <f>IF(ISBLANK(U20), 1, VLOOKUP(U20, DATA!$AF$43:$AL$47, 6, FALSE))</f>
        <v>1</v>
      </c>
      <c r="AA20" s="342"/>
      <c r="AB20" s="345">
        <f t="shared" si="1"/>
        <v>0</v>
      </c>
      <c r="AC20" s="346"/>
      <c r="AD20" s="346"/>
      <c r="AE20" s="34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27"/>
      <c r="AU20" s="291"/>
      <c r="AV20" s="324"/>
      <c r="AW20" s="324"/>
      <c r="AX20" s="324"/>
      <c r="AY20" s="275"/>
      <c r="AZ20" s="291"/>
      <c r="BA20" s="307"/>
      <c r="BB20" s="307"/>
      <c r="BC20" s="307"/>
      <c r="BD20" s="228">
        <f t="shared" si="3"/>
        <v>0</v>
      </c>
      <c r="BE20" s="228"/>
      <c r="BF20" s="228">
        <f>IF(ISBLANK(BA20), 1, VLOOKUP(BA20, DATA!$AF$43:$AL$47, 6, FALSE))</f>
        <v>1</v>
      </c>
      <c r="BG20" s="228"/>
      <c r="BH20" s="231">
        <f t="shared" si="2"/>
        <v>0</v>
      </c>
      <c r="BI20" s="231"/>
      <c r="BJ20" s="231"/>
      <c r="BK20" s="231"/>
    </row>
    <row r="21" spans="1:63" x14ac:dyDescent="0.25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27"/>
      <c r="O21" s="291"/>
      <c r="P21" s="335"/>
      <c r="Q21" s="336"/>
      <c r="R21" s="337"/>
      <c r="S21" s="291"/>
      <c r="T21" s="275"/>
      <c r="U21" s="338"/>
      <c r="V21" s="339"/>
      <c r="W21" s="340"/>
      <c r="X21" s="341">
        <f t="shared" si="0"/>
        <v>0</v>
      </c>
      <c r="Y21" s="342"/>
      <c r="Z21" s="341">
        <f>IF(ISBLANK(U21), 1, VLOOKUP(U21, DATA!$AF$43:$AL$47, 6, FALSE))</f>
        <v>1</v>
      </c>
      <c r="AA21" s="342"/>
      <c r="AB21" s="345">
        <f t="shared" si="1"/>
        <v>0</v>
      </c>
      <c r="AC21" s="346"/>
      <c r="AD21" s="346"/>
      <c r="AE21" s="34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27"/>
      <c r="AU21" s="291"/>
      <c r="AV21" s="324"/>
      <c r="AW21" s="324"/>
      <c r="AX21" s="324"/>
      <c r="AY21" s="275"/>
      <c r="AZ21" s="291"/>
      <c r="BA21" s="307"/>
      <c r="BB21" s="307"/>
      <c r="BC21" s="307"/>
      <c r="BD21" s="228">
        <f t="shared" si="3"/>
        <v>0</v>
      </c>
      <c r="BE21" s="228"/>
      <c r="BF21" s="228">
        <f>IF(ISBLANK(BA21), 1, VLOOKUP(BA21, DATA!$AF$43:$AL$47, 6, FALSE))</f>
        <v>1</v>
      </c>
      <c r="BG21" s="228"/>
      <c r="BH21" s="231">
        <f t="shared" si="2"/>
        <v>0</v>
      </c>
      <c r="BI21" s="231"/>
      <c r="BJ21" s="231"/>
      <c r="BK21" s="231"/>
    </row>
    <row r="22" spans="1:63" x14ac:dyDescent="0.25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27"/>
      <c r="O22" s="291"/>
      <c r="P22" s="335"/>
      <c r="Q22" s="336"/>
      <c r="R22" s="337"/>
      <c r="S22" s="291"/>
      <c r="T22" s="275"/>
      <c r="U22" s="338"/>
      <c r="V22" s="339"/>
      <c r="W22" s="340"/>
      <c r="X22" s="341">
        <f t="shared" si="0"/>
        <v>0</v>
      </c>
      <c r="Y22" s="342"/>
      <c r="Z22" s="341">
        <f>IF(ISBLANK(U22), 1, VLOOKUP(U22, DATA!$AF$43:$AL$47, 6, FALSE))</f>
        <v>1</v>
      </c>
      <c r="AA22" s="342"/>
      <c r="AB22" s="345">
        <f t="shared" si="1"/>
        <v>0</v>
      </c>
      <c r="AC22" s="346"/>
      <c r="AD22" s="346"/>
      <c r="AE22" s="34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27"/>
      <c r="AU22" s="291"/>
      <c r="AV22" s="324"/>
      <c r="AW22" s="324"/>
      <c r="AX22" s="324"/>
      <c r="AY22" s="275"/>
      <c r="AZ22" s="291"/>
      <c r="BA22" s="307"/>
      <c r="BB22" s="307"/>
      <c r="BC22" s="307"/>
      <c r="BD22" s="228">
        <f t="shared" si="3"/>
        <v>0</v>
      </c>
      <c r="BE22" s="228"/>
      <c r="BF22" s="228">
        <f>IF(ISBLANK(BA22), 1, VLOOKUP(BA22, DATA!$AF$43:$AL$47, 6, FALSE))</f>
        <v>1</v>
      </c>
      <c r="BG22" s="228"/>
      <c r="BH22" s="231">
        <f t="shared" si="2"/>
        <v>0</v>
      </c>
      <c r="BI22" s="231"/>
      <c r="BJ22" s="231"/>
      <c r="BK22" s="231"/>
    </row>
    <row r="23" spans="1:63" x14ac:dyDescent="0.25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27"/>
      <c r="O23" s="291"/>
      <c r="P23" s="335"/>
      <c r="Q23" s="336"/>
      <c r="R23" s="337"/>
      <c r="S23" s="291"/>
      <c r="T23" s="275"/>
      <c r="U23" s="338"/>
      <c r="V23" s="339"/>
      <c r="W23" s="340"/>
      <c r="X23" s="341">
        <f t="shared" si="0"/>
        <v>0</v>
      </c>
      <c r="Y23" s="342"/>
      <c r="Z23" s="341">
        <f>IF(ISBLANK(U23), 1, VLOOKUP(U23, DATA!$AF$43:$AL$47, 6, FALSE))</f>
        <v>1</v>
      </c>
      <c r="AA23" s="342"/>
      <c r="AB23" s="345">
        <f t="shared" si="1"/>
        <v>0</v>
      </c>
      <c r="AC23" s="346"/>
      <c r="AD23" s="346"/>
      <c r="AE23" s="34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27"/>
      <c r="AU23" s="291"/>
      <c r="AV23" s="324"/>
      <c r="AW23" s="324"/>
      <c r="AX23" s="324"/>
      <c r="AY23" s="275"/>
      <c r="AZ23" s="291"/>
      <c r="BA23" s="307"/>
      <c r="BB23" s="307"/>
      <c r="BC23" s="307"/>
      <c r="BD23" s="228">
        <f t="shared" si="3"/>
        <v>0</v>
      </c>
      <c r="BE23" s="228"/>
      <c r="BF23" s="228">
        <f>IF(ISBLANK(BA23), 1, VLOOKUP(BA23, DATA!$AF$43:$AL$47, 6, FALSE))</f>
        <v>1</v>
      </c>
      <c r="BG23" s="228"/>
      <c r="BH23" s="231">
        <f t="shared" si="2"/>
        <v>0</v>
      </c>
      <c r="BI23" s="231"/>
      <c r="BJ23" s="231"/>
      <c r="BK23" s="231"/>
    </row>
    <row r="24" spans="1:63" x14ac:dyDescent="0.2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27"/>
      <c r="O24" s="291"/>
      <c r="P24" s="335"/>
      <c r="Q24" s="336"/>
      <c r="R24" s="337"/>
      <c r="S24" s="291"/>
      <c r="T24" s="275"/>
      <c r="U24" s="338"/>
      <c r="V24" s="339"/>
      <c r="W24" s="340"/>
      <c r="X24" s="341">
        <f t="shared" si="0"/>
        <v>0</v>
      </c>
      <c r="Y24" s="342"/>
      <c r="Z24" s="341">
        <f>IF(ISBLANK(U24), 1, VLOOKUP(U24, DATA!$AF$43:$AL$47, 6, FALSE))</f>
        <v>1</v>
      </c>
      <c r="AA24" s="342"/>
      <c r="AB24" s="345">
        <f t="shared" si="1"/>
        <v>0</v>
      </c>
      <c r="AC24" s="346"/>
      <c r="AD24" s="346"/>
      <c r="AE24" s="34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27"/>
      <c r="AU24" s="291"/>
      <c r="AV24" s="324"/>
      <c r="AW24" s="324"/>
      <c r="AX24" s="324"/>
      <c r="AY24" s="275"/>
      <c r="AZ24" s="291"/>
      <c r="BA24" s="307"/>
      <c r="BB24" s="307"/>
      <c r="BC24" s="307"/>
      <c r="BD24" s="228">
        <f t="shared" si="3"/>
        <v>0</v>
      </c>
      <c r="BE24" s="228"/>
      <c r="BF24" s="228">
        <f>IF(ISBLANK(BA24), 1, VLOOKUP(BA24, DATA!$AF$43:$AL$47, 6, FALSE))</f>
        <v>1</v>
      </c>
      <c r="BG24" s="228"/>
      <c r="BH24" s="231">
        <f t="shared" si="2"/>
        <v>0</v>
      </c>
      <c r="BI24" s="231"/>
      <c r="BJ24" s="231"/>
      <c r="BK24" s="231"/>
    </row>
    <row r="25" spans="1:63" x14ac:dyDescent="0.2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27"/>
      <c r="O25" s="291"/>
      <c r="P25" s="335"/>
      <c r="Q25" s="336"/>
      <c r="R25" s="337"/>
      <c r="S25" s="291"/>
      <c r="T25" s="275"/>
      <c r="U25" s="338"/>
      <c r="V25" s="339"/>
      <c r="W25" s="340"/>
      <c r="X25" s="341">
        <f t="shared" si="0"/>
        <v>0</v>
      </c>
      <c r="Y25" s="342"/>
      <c r="Z25" s="341">
        <f>IF(ISBLANK(U25), 1, VLOOKUP(U25, DATA!$AF$43:$AL$47, 6, FALSE))</f>
        <v>1</v>
      </c>
      <c r="AA25" s="342"/>
      <c r="AB25" s="345">
        <f t="shared" si="1"/>
        <v>0</v>
      </c>
      <c r="AC25" s="346"/>
      <c r="AD25" s="346"/>
      <c r="AE25" s="34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27"/>
      <c r="AU25" s="291"/>
      <c r="AV25" s="324"/>
      <c r="AW25" s="324"/>
      <c r="AX25" s="324"/>
      <c r="AY25" s="275"/>
      <c r="AZ25" s="291"/>
      <c r="BA25" s="307"/>
      <c r="BB25" s="307"/>
      <c r="BC25" s="307"/>
      <c r="BD25" s="228">
        <f t="shared" si="3"/>
        <v>0</v>
      </c>
      <c r="BE25" s="228"/>
      <c r="BF25" s="228">
        <f>IF(ISBLANK(BA25), 1, VLOOKUP(BA25, DATA!$AF$43:$AL$47, 6, FALSE))</f>
        <v>1</v>
      </c>
      <c r="BG25" s="228"/>
      <c r="BH25" s="231">
        <f t="shared" si="2"/>
        <v>0</v>
      </c>
      <c r="BI25" s="231"/>
      <c r="BJ25" s="231"/>
      <c r="BK25" s="231"/>
    </row>
    <row r="26" spans="1:63" x14ac:dyDescent="0.2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27"/>
      <c r="O26" s="291"/>
      <c r="P26" s="335"/>
      <c r="Q26" s="336"/>
      <c r="R26" s="337"/>
      <c r="S26" s="291"/>
      <c r="T26" s="275"/>
      <c r="U26" s="338"/>
      <c r="V26" s="339"/>
      <c r="W26" s="340"/>
      <c r="X26" s="341">
        <f t="shared" si="0"/>
        <v>0</v>
      </c>
      <c r="Y26" s="342"/>
      <c r="Z26" s="341">
        <f>IF(ISBLANK(U26), 1, VLOOKUP(U26, DATA!$AF$43:$AL$47, 6, FALSE))</f>
        <v>1</v>
      </c>
      <c r="AA26" s="342"/>
      <c r="AB26" s="345">
        <f t="shared" si="1"/>
        <v>0</v>
      </c>
      <c r="AC26" s="346"/>
      <c r="AD26" s="346"/>
      <c r="AE26" s="34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27"/>
      <c r="AU26" s="291"/>
      <c r="AV26" s="324"/>
      <c r="AW26" s="324"/>
      <c r="AX26" s="324"/>
      <c r="AY26" s="275"/>
      <c r="AZ26" s="291"/>
      <c r="BA26" s="307"/>
      <c r="BB26" s="307"/>
      <c r="BC26" s="307"/>
      <c r="BD26" s="228">
        <f t="shared" si="3"/>
        <v>0</v>
      </c>
      <c r="BE26" s="228"/>
      <c r="BF26" s="228">
        <f>IF(ISBLANK(BA26), 1, VLOOKUP(BA26, DATA!$AF$43:$AL$47, 6, FALSE))</f>
        <v>1</v>
      </c>
      <c r="BG26" s="228"/>
      <c r="BH26" s="231">
        <f t="shared" si="2"/>
        <v>0</v>
      </c>
      <c r="BI26" s="231"/>
      <c r="BJ26" s="231"/>
      <c r="BK26" s="231"/>
    </row>
    <row r="27" spans="1:63" x14ac:dyDescent="0.2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27"/>
      <c r="O27" s="291"/>
      <c r="P27" s="335"/>
      <c r="Q27" s="336"/>
      <c r="R27" s="337"/>
      <c r="S27" s="291"/>
      <c r="T27" s="275"/>
      <c r="U27" s="338"/>
      <c r="V27" s="339"/>
      <c r="W27" s="340"/>
      <c r="X27" s="341">
        <f t="shared" si="0"/>
        <v>0</v>
      </c>
      <c r="Y27" s="342"/>
      <c r="Z27" s="341">
        <f>IF(ISBLANK(U27), 1, VLOOKUP(U27, DATA!$AF$43:$AL$47, 6, FALSE))</f>
        <v>1</v>
      </c>
      <c r="AA27" s="342"/>
      <c r="AB27" s="345">
        <f t="shared" si="1"/>
        <v>0</v>
      </c>
      <c r="AC27" s="346"/>
      <c r="AD27" s="346"/>
      <c r="AE27" s="34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27"/>
      <c r="AU27" s="291"/>
      <c r="AV27" s="324"/>
      <c r="AW27" s="324"/>
      <c r="AX27" s="324"/>
      <c r="AY27" s="275"/>
      <c r="AZ27" s="291"/>
      <c r="BA27" s="307"/>
      <c r="BB27" s="307"/>
      <c r="BC27" s="307"/>
      <c r="BD27" s="228">
        <f t="shared" si="3"/>
        <v>0</v>
      </c>
      <c r="BE27" s="228"/>
      <c r="BF27" s="228">
        <f>IF(ISBLANK(BA27), 1, VLOOKUP(BA27, DATA!$AF$43:$AL$47, 6, FALSE))</f>
        <v>1</v>
      </c>
      <c r="BG27" s="228"/>
      <c r="BH27" s="231">
        <f t="shared" si="2"/>
        <v>0</v>
      </c>
      <c r="BI27" s="231"/>
      <c r="BJ27" s="231"/>
      <c r="BK27" s="231"/>
    </row>
    <row r="28" spans="1:63" x14ac:dyDescent="0.2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27"/>
      <c r="O28" s="291"/>
      <c r="P28" s="335"/>
      <c r="Q28" s="336"/>
      <c r="R28" s="337"/>
      <c r="S28" s="291"/>
      <c r="T28" s="275"/>
      <c r="U28" s="338"/>
      <c r="V28" s="339"/>
      <c r="W28" s="340"/>
      <c r="X28" s="341">
        <f t="shared" si="0"/>
        <v>0</v>
      </c>
      <c r="Y28" s="342"/>
      <c r="Z28" s="341">
        <f>IF(ISBLANK(U28), 1, VLOOKUP(U28, DATA!$AF$43:$AL$47, 6, FALSE))</f>
        <v>1</v>
      </c>
      <c r="AA28" s="342"/>
      <c r="AB28" s="345">
        <f t="shared" si="1"/>
        <v>0</v>
      </c>
      <c r="AC28" s="346"/>
      <c r="AD28" s="346"/>
      <c r="AE28" s="34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27"/>
      <c r="AU28" s="291"/>
      <c r="AV28" s="324"/>
      <c r="AW28" s="324"/>
      <c r="AX28" s="324"/>
      <c r="AY28" s="275"/>
      <c r="AZ28" s="291"/>
      <c r="BA28" s="307"/>
      <c r="BB28" s="307"/>
      <c r="BC28" s="307"/>
      <c r="BD28" s="228">
        <f t="shared" si="3"/>
        <v>0</v>
      </c>
      <c r="BE28" s="228"/>
      <c r="BF28" s="228">
        <f>IF(ISBLANK(BA28), 1, VLOOKUP(BA28, DATA!$AF$43:$AL$47, 6, FALSE))</f>
        <v>1</v>
      </c>
      <c r="BG28" s="228"/>
      <c r="BH28" s="231">
        <f t="shared" si="2"/>
        <v>0</v>
      </c>
      <c r="BI28" s="231"/>
      <c r="BJ28" s="231"/>
      <c r="BK28" s="231"/>
    </row>
    <row r="29" spans="1:63" x14ac:dyDescent="0.2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27"/>
      <c r="O29" s="291"/>
      <c r="P29" s="335"/>
      <c r="Q29" s="336"/>
      <c r="R29" s="337"/>
      <c r="S29" s="291"/>
      <c r="T29" s="275"/>
      <c r="U29" s="338"/>
      <c r="V29" s="339"/>
      <c r="W29" s="340"/>
      <c r="X29" s="341">
        <f t="shared" si="0"/>
        <v>0</v>
      </c>
      <c r="Y29" s="342"/>
      <c r="Z29" s="341">
        <f>IF(ISBLANK(U29), 1, VLOOKUP(U29, DATA!$AF$43:$AL$47, 6, FALSE))</f>
        <v>1</v>
      </c>
      <c r="AA29" s="342"/>
      <c r="AB29" s="345">
        <f t="shared" si="1"/>
        <v>0</v>
      </c>
      <c r="AC29" s="346"/>
      <c r="AD29" s="346"/>
      <c r="AE29" s="34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27"/>
      <c r="AU29" s="291"/>
      <c r="AV29" s="324"/>
      <c r="AW29" s="324"/>
      <c r="AX29" s="324"/>
      <c r="AY29" s="275"/>
      <c r="AZ29" s="291"/>
      <c r="BA29" s="307"/>
      <c r="BB29" s="307"/>
      <c r="BC29" s="307"/>
      <c r="BD29" s="228">
        <f t="shared" si="3"/>
        <v>0</v>
      </c>
      <c r="BE29" s="228"/>
      <c r="BF29" s="228">
        <f>IF(ISBLANK(BA29), 1, VLOOKUP(BA29, DATA!$AF$43:$AL$47, 6, FALSE))</f>
        <v>1</v>
      </c>
      <c r="BG29" s="228"/>
      <c r="BH29" s="231">
        <f t="shared" si="2"/>
        <v>0</v>
      </c>
      <c r="BI29" s="231"/>
      <c r="BJ29" s="231"/>
      <c r="BK29" s="231"/>
    </row>
    <row r="30" spans="1:63" x14ac:dyDescent="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27"/>
      <c r="O30" s="291"/>
      <c r="P30" s="335"/>
      <c r="Q30" s="336"/>
      <c r="R30" s="337"/>
      <c r="S30" s="291"/>
      <c r="T30" s="275"/>
      <c r="U30" s="338"/>
      <c r="V30" s="339"/>
      <c r="W30" s="340"/>
      <c r="X30" s="341">
        <f t="shared" si="0"/>
        <v>0</v>
      </c>
      <c r="Y30" s="342"/>
      <c r="Z30" s="341">
        <f>IF(ISBLANK(U30), 1, VLOOKUP(U30, DATA!$AF$43:$AL$47, 6, FALSE))</f>
        <v>1</v>
      </c>
      <c r="AA30" s="342"/>
      <c r="AB30" s="345">
        <f t="shared" si="1"/>
        <v>0</v>
      </c>
      <c r="AC30" s="346"/>
      <c r="AD30" s="346"/>
      <c r="AE30" s="34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27"/>
      <c r="AU30" s="291"/>
      <c r="AV30" s="324"/>
      <c r="AW30" s="324"/>
      <c r="AX30" s="324"/>
      <c r="AY30" s="275"/>
      <c r="AZ30" s="291"/>
      <c r="BA30" s="307"/>
      <c r="BB30" s="307"/>
      <c r="BC30" s="307"/>
      <c r="BD30" s="228">
        <f t="shared" si="3"/>
        <v>0</v>
      </c>
      <c r="BE30" s="228"/>
      <c r="BF30" s="228">
        <f>IF(ISBLANK(BA30), 1, VLOOKUP(BA30, DATA!$AF$43:$AL$47, 6, FALSE))</f>
        <v>1</v>
      </c>
      <c r="BG30" s="228"/>
      <c r="BH30" s="231">
        <f t="shared" si="2"/>
        <v>0</v>
      </c>
      <c r="BI30" s="231"/>
      <c r="BJ30" s="231"/>
      <c r="BK30" s="231"/>
    </row>
    <row r="31" spans="1:63" x14ac:dyDescent="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27"/>
      <c r="O31" s="291"/>
      <c r="P31" s="335"/>
      <c r="Q31" s="336"/>
      <c r="R31" s="337"/>
      <c r="S31" s="291"/>
      <c r="T31" s="275"/>
      <c r="U31" s="338"/>
      <c r="V31" s="339"/>
      <c r="W31" s="340"/>
      <c r="X31" s="341">
        <f t="shared" si="0"/>
        <v>0</v>
      </c>
      <c r="Y31" s="342"/>
      <c r="Z31" s="341">
        <f>IF(ISBLANK(U31), 1, VLOOKUP(U31, DATA!$AF$43:$AL$47, 6, FALSE))</f>
        <v>1</v>
      </c>
      <c r="AA31" s="342"/>
      <c r="AB31" s="345">
        <f t="shared" si="1"/>
        <v>0</v>
      </c>
      <c r="AC31" s="346"/>
      <c r="AD31" s="346"/>
      <c r="AE31" s="34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27"/>
      <c r="AU31" s="291"/>
      <c r="AV31" s="324"/>
      <c r="AW31" s="324"/>
      <c r="AX31" s="324"/>
      <c r="AY31" s="275"/>
      <c r="AZ31" s="291"/>
      <c r="BA31" s="307"/>
      <c r="BB31" s="307"/>
      <c r="BC31" s="307"/>
      <c r="BD31" s="228">
        <f t="shared" si="3"/>
        <v>0</v>
      </c>
      <c r="BE31" s="228"/>
      <c r="BF31" s="228">
        <f>IF(ISBLANK(BA31), 1, VLOOKUP(BA31, DATA!$AF$43:$AL$47, 6, FALSE))</f>
        <v>1</v>
      </c>
      <c r="BG31" s="228"/>
      <c r="BH31" s="231">
        <f t="shared" si="2"/>
        <v>0</v>
      </c>
      <c r="BI31" s="231"/>
      <c r="BJ31" s="231"/>
      <c r="BK31" s="231"/>
    </row>
    <row r="32" spans="1:63" x14ac:dyDescent="0.25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27"/>
      <c r="O32" s="291"/>
      <c r="P32" s="335"/>
      <c r="Q32" s="336"/>
      <c r="R32" s="337"/>
      <c r="S32" s="291"/>
      <c r="T32" s="275"/>
      <c r="U32" s="338"/>
      <c r="V32" s="339"/>
      <c r="W32" s="340"/>
      <c r="X32" s="341">
        <f t="shared" si="0"/>
        <v>0</v>
      </c>
      <c r="Y32" s="342"/>
      <c r="Z32" s="341">
        <f>IF(ISBLANK(U32), 1, VLOOKUP(U32, DATA!$AF$43:$AL$47, 6, FALSE))</f>
        <v>1</v>
      </c>
      <c r="AA32" s="342"/>
      <c r="AB32" s="345">
        <f t="shared" si="1"/>
        <v>0</v>
      </c>
      <c r="AC32" s="346"/>
      <c r="AD32" s="346"/>
      <c r="AE32" s="34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27"/>
      <c r="AU32" s="291"/>
      <c r="AV32" s="324"/>
      <c r="AW32" s="324"/>
      <c r="AX32" s="324"/>
      <c r="AY32" s="275"/>
      <c r="AZ32" s="291"/>
      <c r="BA32" s="307"/>
      <c r="BB32" s="307"/>
      <c r="BC32" s="307"/>
      <c r="BD32" s="228">
        <f t="shared" si="3"/>
        <v>0</v>
      </c>
      <c r="BE32" s="228"/>
      <c r="BF32" s="228">
        <f>IF(ISBLANK(BA32), 1, VLOOKUP(BA32, DATA!$AF$43:$AL$47, 6, FALSE))</f>
        <v>1</v>
      </c>
      <c r="BG32" s="228"/>
      <c r="BH32" s="231">
        <f t="shared" si="2"/>
        <v>0</v>
      </c>
      <c r="BI32" s="231"/>
      <c r="BJ32" s="231"/>
      <c r="BK32" s="231"/>
    </row>
    <row r="33" spans="1:65" x14ac:dyDescent="0.2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27"/>
      <c r="O33" s="291"/>
      <c r="P33" s="335"/>
      <c r="Q33" s="336"/>
      <c r="R33" s="337"/>
      <c r="S33" s="291"/>
      <c r="T33" s="275"/>
      <c r="U33" s="338"/>
      <c r="V33" s="339"/>
      <c r="W33" s="340"/>
      <c r="X33" s="341">
        <f t="shared" si="0"/>
        <v>0</v>
      </c>
      <c r="Y33" s="342"/>
      <c r="Z33" s="341">
        <f>IF(ISBLANK(U33), 1, VLOOKUP(U33, DATA!$AF$43:$AL$47, 6, FALSE))</f>
        <v>1</v>
      </c>
      <c r="AA33" s="342"/>
      <c r="AB33" s="345">
        <f>IF(ISBLANK(N33), P33*Z33, (P33*N33)*Z33)</f>
        <v>0</v>
      </c>
      <c r="AC33" s="346"/>
      <c r="AD33" s="346"/>
      <c r="AE33" s="34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27"/>
      <c r="AU33" s="291"/>
      <c r="AV33" s="324"/>
      <c r="AW33" s="324"/>
      <c r="AX33" s="324"/>
      <c r="AY33" s="275"/>
      <c r="AZ33" s="291"/>
      <c r="BA33" s="307"/>
      <c r="BB33" s="307"/>
      <c r="BC33" s="307"/>
      <c r="BD33" s="228">
        <f t="shared" si="3"/>
        <v>0</v>
      </c>
      <c r="BE33" s="228"/>
      <c r="BF33" s="228">
        <f>IF(ISBLANK(BA33), 1, VLOOKUP(BA33, DATA!$AF$43:$AL$47, 6, FALSE))</f>
        <v>1</v>
      </c>
      <c r="BG33" s="228"/>
      <c r="BH33" s="231">
        <f t="shared" si="2"/>
        <v>0</v>
      </c>
      <c r="BI33" s="231"/>
      <c r="BJ33" s="231"/>
      <c r="BK33" s="231"/>
    </row>
    <row r="34" spans="1:65" x14ac:dyDescent="0.25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27"/>
      <c r="O34" s="291"/>
      <c r="P34" s="335"/>
      <c r="Q34" s="336"/>
      <c r="R34" s="337"/>
      <c r="S34" s="291"/>
      <c r="T34" s="275"/>
      <c r="U34" s="338"/>
      <c r="V34" s="339"/>
      <c r="W34" s="340"/>
      <c r="X34" s="341">
        <f t="shared" si="0"/>
        <v>0</v>
      </c>
      <c r="Y34" s="342"/>
      <c r="Z34" s="341">
        <f>IF(ISBLANK(U34), 1, VLOOKUP(U34, DATA!$AF$43:$AL$47, 6, FALSE))</f>
        <v>1</v>
      </c>
      <c r="AA34" s="342"/>
      <c r="AB34" s="345">
        <f t="shared" ref="AB34:AB43" si="4">IF(ISBLANK(N34), P34*Z34, (P34*N34)*Z34)</f>
        <v>0</v>
      </c>
      <c r="AC34" s="346"/>
      <c r="AD34" s="346"/>
      <c r="AE34" s="34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27"/>
      <c r="AU34" s="291"/>
      <c r="AV34" s="324"/>
      <c r="AW34" s="324"/>
      <c r="AX34" s="324"/>
      <c r="AY34" s="275"/>
      <c r="AZ34" s="291"/>
      <c r="BA34" s="307"/>
      <c r="BB34" s="307"/>
      <c r="BC34" s="307"/>
      <c r="BD34" s="228">
        <f t="shared" si="3"/>
        <v>0</v>
      </c>
      <c r="BE34" s="228"/>
      <c r="BF34" s="228">
        <f>IF(ISBLANK(BA34), 1, VLOOKUP(BA34, DATA!$AF$43:$AL$47, 6, FALSE))</f>
        <v>1</v>
      </c>
      <c r="BG34" s="228"/>
      <c r="BH34" s="231">
        <f t="shared" si="2"/>
        <v>0</v>
      </c>
      <c r="BI34" s="231"/>
      <c r="BJ34" s="231"/>
      <c r="BK34" s="231"/>
    </row>
    <row r="35" spans="1:65" x14ac:dyDescent="0.2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27"/>
      <c r="O35" s="291"/>
      <c r="P35" s="335"/>
      <c r="Q35" s="336"/>
      <c r="R35" s="337"/>
      <c r="S35" s="291"/>
      <c r="T35" s="275"/>
      <c r="U35" s="338"/>
      <c r="V35" s="339"/>
      <c r="W35" s="340"/>
      <c r="X35" s="341">
        <f t="shared" si="0"/>
        <v>0</v>
      </c>
      <c r="Y35" s="342"/>
      <c r="Z35" s="341">
        <f>IF(ISBLANK(U35), 1, VLOOKUP(U35, DATA!$AF$43:$AL$47, 6, FALSE))</f>
        <v>1</v>
      </c>
      <c r="AA35" s="342"/>
      <c r="AB35" s="345">
        <f t="shared" si="4"/>
        <v>0</v>
      </c>
      <c r="AC35" s="346"/>
      <c r="AD35" s="346"/>
      <c r="AE35" s="34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27"/>
      <c r="AU35" s="291"/>
      <c r="AV35" s="324"/>
      <c r="AW35" s="324"/>
      <c r="AX35" s="324"/>
      <c r="AY35" s="275"/>
      <c r="AZ35" s="291"/>
      <c r="BA35" s="307"/>
      <c r="BB35" s="307"/>
      <c r="BC35" s="307"/>
      <c r="BD35" s="228">
        <f t="shared" si="3"/>
        <v>0</v>
      </c>
      <c r="BE35" s="228"/>
      <c r="BF35" s="228">
        <f>IF(ISBLANK(BA35), 1, VLOOKUP(BA35, DATA!$AF$43:$AL$47, 6, FALSE))</f>
        <v>1</v>
      </c>
      <c r="BG35" s="228"/>
      <c r="BH35" s="231">
        <f t="shared" si="2"/>
        <v>0</v>
      </c>
      <c r="BI35" s="231"/>
      <c r="BJ35" s="231"/>
      <c r="BK35" s="231"/>
    </row>
    <row r="36" spans="1:65" x14ac:dyDescent="0.2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27"/>
      <c r="O36" s="291"/>
      <c r="P36" s="335"/>
      <c r="Q36" s="336"/>
      <c r="R36" s="337"/>
      <c r="S36" s="291"/>
      <c r="T36" s="275"/>
      <c r="U36" s="338"/>
      <c r="V36" s="339"/>
      <c r="W36" s="340"/>
      <c r="X36" s="341">
        <f t="shared" si="0"/>
        <v>0</v>
      </c>
      <c r="Y36" s="342"/>
      <c r="Z36" s="341">
        <f>IF(ISBLANK(U36), 1, VLOOKUP(U36, DATA!$AF$43:$AL$47, 6, FALSE))</f>
        <v>1</v>
      </c>
      <c r="AA36" s="342"/>
      <c r="AB36" s="345">
        <f t="shared" si="4"/>
        <v>0</v>
      </c>
      <c r="AC36" s="346"/>
      <c r="AD36" s="346"/>
      <c r="AE36" s="34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27"/>
      <c r="AU36" s="291"/>
      <c r="AV36" s="324"/>
      <c r="AW36" s="324"/>
      <c r="AX36" s="324"/>
      <c r="AY36" s="275"/>
      <c r="AZ36" s="291"/>
      <c r="BA36" s="307"/>
      <c r="BB36" s="307"/>
      <c r="BC36" s="307"/>
      <c r="BD36" s="228">
        <f t="shared" si="3"/>
        <v>0</v>
      </c>
      <c r="BE36" s="228"/>
      <c r="BF36" s="228">
        <f>IF(ISBLANK(BA36), 1, VLOOKUP(BA36, DATA!$AF$43:$AL$47, 6, FALSE))</f>
        <v>1</v>
      </c>
      <c r="BG36" s="228"/>
      <c r="BH36" s="231">
        <f t="shared" si="2"/>
        <v>0</v>
      </c>
      <c r="BI36" s="231"/>
      <c r="BJ36" s="231"/>
      <c r="BK36" s="231"/>
    </row>
    <row r="37" spans="1:65" x14ac:dyDescent="0.2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27"/>
      <c r="O37" s="291"/>
      <c r="P37" s="335"/>
      <c r="Q37" s="336"/>
      <c r="R37" s="337"/>
      <c r="S37" s="291"/>
      <c r="T37" s="275"/>
      <c r="U37" s="338"/>
      <c r="V37" s="339"/>
      <c r="W37" s="340"/>
      <c r="X37" s="341">
        <f t="shared" si="0"/>
        <v>0</v>
      </c>
      <c r="Y37" s="342"/>
      <c r="Z37" s="341">
        <f>IF(ISBLANK(U37), 1, VLOOKUP(U37, DATA!$AF$43:$AL$47, 6, FALSE))</f>
        <v>1</v>
      </c>
      <c r="AA37" s="342"/>
      <c r="AB37" s="345">
        <f t="shared" si="4"/>
        <v>0</v>
      </c>
      <c r="AC37" s="346"/>
      <c r="AD37" s="346"/>
      <c r="AE37" s="34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27"/>
      <c r="AU37" s="291"/>
      <c r="AV37" s="324"/>
      <c r="AW37" s="324"/>
      <c r="AX37" s="324"/>
      <c r="AY37" s="275"/>
      <c r="AZ37" s="291"/>
      <c r="BA37" s="307"/>
      <c r="BB37" s="307"/>
      <c r="BC37" s="307"/>
      <c r="BD37" s="228">
        <f t="shared" si="3"/>
        <v>0</v>
      </c>
      <c r="BE37" s="228"/>
      <c r="BF37" s="228">
        <f>IF(ISBLANK(BA37), 1, VLOOKUP(BA37, DATA!$AF$43:$AL$47, 6, FALSE))</f>
        <v>1</v>
      </c>
      <c r="BG37" s="228"/>
      <c r="BH37" s="231">
        <f t="shared" si="2"/>
        <v>0</v>
      </c>
      <c r="BI37" s="231"/>
      <c r="BJ37" s="231"/>
      <c r="BK37" s="231"/>
    </row>
    <row r="38" spans="1:65" x14ac:dyDescent="0.25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27"/>
      <c r="O38" s="291"/>
      <c r="P38" s="335"/>
      <c r="Q38" s="336"/>
      <c r="R38" s="337"/>
      <c r="S38" s="291"/>
      <c r="T38" s="275"/>
      <c r="U38" s="338"/>
      <c r="V38" s="339"/>
      <c r="W38" s="340"/>
      <c r="X38" s="341">
        <f t="shared" si="0"/>
        <v>0</v>
      </c>
      <c r="Y38" s="342"/>
      <c r="Z38" s="341">
        <f>IF(ISBLANK(U38), 1, VLOOKUP(U38, DATA!$AF$43:$AL$47, 6, FALSE))</f>
        <v>1</v>
      </c>
      <c r="AA38" s="342"/>
      <c r="AB38" s="345">
        <f t="shared" si="4"/>
        <v>0</v>
      </c>
      <c r="AC38" s="346"/>
      <c r="AD38" s="346"/>
      <c r="AE38" s="34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27"/>
      <c r="AU38" s="291"/>
      <c r="AV38" s="324"/>
      <c r="AW38" s="324"/>
      <c r="AX38" s="324"/>
      <c r="AY38" s="275"/>
      <c r="AZ38" s="291"/>
      <c r="BA38" s="307"/>
      <c r="BB38" s="307"/>
      <c r="BC38" s="307"/>
      <c r="BD38" s="228">
        <f t="shared" si="3"/>
        <v>0</v>
      </c>
      <c r="BE38" s="228"/>
      <c r="BF38" s="228">
        <f>IF(ISBLANK(BA38), 1, VLOOKUP(BA38, DATA!$AF$43:$AL$47, 6, FALSE))</f>
        <v>1</v>
      </c>
      <c r="BG38" s="228"/>
      <c r="BH38" s="231">
        <f t="shared" si="2"/>
        <v>0</v>
      </c>
      <c r="BI38" s="231"/>
      <c r="BJ38" s="231"/>
      <c r="BK38" s="231"/>
    </row>
    <row r="39" spans="1:65" x14ac:dyDescent="0.25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27"/>
      <c r="O39" s="291"/>
      <c r="P39" s="335"/>
      <c r="Q39" s="336"/>
      <c r="R39" s="337"/>
      <c r="S39" s="291"/>
      <c r="T39" s="275"/>
      <c r="U39" s="338"/>
      <c r="V39" s="339"/>
      <c r="W39" s="340"/>
      <c r="X39" s="341">
        <f t="shared" si="0"/>
        <v>0</v>
      </c>
      <c r="Y39" s="342"/>
      <c r="Z39" s="341">
        <f>IF(ISBLANK(U39), 1, VLOOKUP(U39, DATA!$AF$43:$AL$47, 6, FALSE))</f>
        <v>1</v>
      </c>
      <c r="AA39" s="342"/>
      <c r="AB39" s="345">
        <f t="shared" si="4"/>
        <v>0</v>
      </c>
      <c r="AC39" s="346"/>
      <c r="AD39" s="346"/>
      <c r="AE39" s="34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27"/>
      <c r="AU39" s="291"/>
      <c r="AV39" s="324"/>
      <c r="AW39" s="324"/>
      <c r="AX39" s="324"/>
      <c r="AY39" s="275"/>
      <c r="AZ39" s="291"/>
      <c r="BA39" s="307"/>
      <c r="BB39" s="307"/>
      <c r="BC39" s="307"/>
      <c r="BD39" s="228">
        <f t="shared" si="3"/>
        <v>0</v>
      </c>
      <c r="BE39" s="228"/>
      <c r="BF39" s="228">
        <f>IF(ISBLANK(BA39), 1, VLOOKUP(BA39, DATA!$AF$43:$AL$47, 6, FALSE))</f>
        <v>1</v>
      </c>
      <c r="BG39" s="228"/>
      <c r="BH39" s="231">
        <f t="shared" si="2"/>
        <v>0</v>
      </c>
      <c r="BI39" s="231"/>
      <c r="BJ39" s="231"/>
      <c r="BK39" s="231"/>
    </row>
    <row r="40" spans="1:65" x14ac:dyDescent="0.2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27"/>
      <c r="O40" s="291"/>
      <c r="P40" s="335"/>
      <c r="Q40" s="336"/>
      <c r="R40" s="337"/>
      <c r="S40" s="291"/>
      <c r="T40" s="275"/>
      <c r="U40" s="338"/>
      <c r="V40" s="339"/>
      <c r="W40" s="340"/>
      <c r="X40" s="341">
        <f t="shared" si="0"/>
        <v>0</v>
      </c>
      <c r="Y40" s="342"/>
      <c r="Z40" s="341">
        <f>IF(ISBLANK(U40), 1, VLOOKUP(U40, DATA!$AF$43:$AL$47, 6, FALSE))</f>
        <v>1</v>
      </c>
      <c r="AA40" s="342"/>
      <c r="AB40" s="345">
        <f t="shared" si="4"/>
        <v>0</v>
      </c>
      <c r="AC40" s="346"/>
      <c r="AD40" s="346"/>
      <c r="AE40" s="34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27"/>
      <c r="AU40" s="291"/>
      <c r="AV40" s="324"/>
      <c r="AW40" s="324"/>
      <c r="AX40" s="324"/>
      <c r="AY40" s="275"/>
      <c r="AZ40" s="291"/>
      <c r="BA40" s="307"/>
      <c r="BB40" s="307"/>
      <c r="BC40" s="307"/>
      <c r="BD40" s="228">
        <f t="shared" si="3"/>
        <v>0</v>
      </c>
      <c r="BE40" s="228"/>
      <c r="BF40" s="228">
        <f>IF(ISBLANK(BA40), 1, VLOOKUP(BA40, DATA!$AF$43:$AL$47, 6, FALSE))</f>
        <v>1</v>
      </c>
      <c r="BG40" s="228"/>
      <c r="BH40" s="231">
        <f t="shared" si="2"/>
        <v>0</v>
      </c>
      <c r="BI40" s="231"/>
      <c r="BJ40" s="231"/>
      <c r="BK40" s="231"/>
    </row>
    <row r="41" spans="1:65" x14ac:dyDescent="0.25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27"/>
      <c r="O41" s="291"/>
      <c r="P41" s="335"/>
      <c r="Q41" s="336"/>
      <c r="R41" s="337"/>
      <c r="S41" s="291"/>
      <c r="T41" s="275"/>
      <c r="U41" s="338"/>
      <c r="V41" s="339"/>
      <c r="W41" s="340"/>
      <c r="X41" s="341">
        <f t="shared" si="0"/>
        <v>0</v>
      </c>
      <c r="Y41" s="342"/>
      <c r="Z41" s="341">
        <f>IF(ISBLANK(U41), 1, VLOOKUP(U41, DATA!$AF$43:$AL$47, 6, FALSE))</f>
        <v>1</v>
      </c>
      <c r="AA41" s="342"/>
      <c r="AB41" s="345">
        <f t="shared" si="4"/>
        <v>0</v>
      </c>
      <c r="AC41" s="346"/>
      <c r="AD41" s="346"/>
      <c r="AE41" s="34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27"/>
      <c r="AU41" s="291"/>
      <c r="AV41" s="324"/>
      <c r="AW41" s="324"/>
      <c r="AX41" s="324"/>
      <c r="AY41" s="275"/>
      <c r="AZ41" s="291"/>
      <c r="BA41" s="307"/>
      <c r="BB41" s="307"/>
      <c r="BC41" s="307"/>
      <c r="BD41" s="228">
        <f t="shared" si="3"/>
        <v>0</v>
      </c>
      <c r="BE41" s="228"/>
      <c r="BF41" s="228">
        <f>IF(ISBLANK(BA41), 1, VLOOKUP(BA41, DATA!$AF$43:$AL$47, 6, FALSE))</f>
        <v>1</v>
      </c>
      <c r="BG41" s="228"/>
      <c r="BH41" s="231">
        <f t="shared" si="2"/>
        <v>0</v>
      </c>
      <c r="BI41" s="231"/>
      <c r="BJ41" s="231"/>
      <c r="BK41" s="231"/>
    </row>
    <row r="42" spans="1:65" x14ac:dyDescent="0.25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27"/>
      <c r="O42" s="291"/>
      <c r="P42" s="335"/>
      <c r="Q42" s="336"/>
      <c r="R42" s="337"/>
      <c r="S42" s="291"/>
      <c r="T42" s="275"/>
      <c r="U42" s="338"/>
      <c r="V42" s="339"/>
      <c r="W42" s="340"/>
      <c r="X42" s="341">
        <f t="shared" si="0"/>
        <v>0</v>
      </c>
      <c r="Y42" s="342"/>
      <c r="Z42" s="341">
        <f>IF(ISBLANK(U42), 1, VLOOKUP(U42, DATA!$AF$43:$AL$47, 6, FALSE))</f>
        <v>1</v>
      </c>
      <c r="AA42" s="342"/>
      <c r="AB42" s="345">
        <f t="shared" si="4"/>
        <v>0</v>
      </c>
      <c r="AC42" s="346"/>
      <c r="AD42" s="346"/>
      <c r="AE42" s="34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27"/>
      <c r="AU42" s="291"/>
      <c r="AV42" s="324"/>
      <c r="AW42" s="324"/>
      <c r="AX42" s="324"/>
      <c r="AY42" s="275"/>
      <c r="AZ42" s="291"/>
      <c r="BA42" s="307"/>
      <c r="BB42" s="307"/>
      <c r="BC42" s="307"/>
      <c r="BD42" s="228">
        <f t="shared" si="3"/>
        <v>0</v>
      </c>
      <c r="BE42" s="228"/>
      <c r="BF42" s="228">
        <f>IF(ISBLANK(BA42), 1, VLOOKUP(BA42, DATA!$AF$43:$AL$47, 6, FALSE))</f>
        <v>1</v>
      </c>
      <c r="BG42" s="228"/>
      <c r="BH42" s="231">
        <f t="shared" si="2"/>
        <v>0</v>
      </c>
      <c r="BI42" s="231"/>
      <c r="BJ42" s="231"/>
      <c r="BK42" s="231"/>
    </row>
    <row r="43" spans="1:65" x14ac:dyDescent="0.2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27"/>
      <c r="O43" s="291"/>
      <c r="P43" s="335"/>
      <c r="Q43" s="336"/>
      <c r="R43" s="337"/>
      <c r="S43" s="291"/>
      <c r="T43" s="275"/>
      <c r="U43" s="338"/>
      <c r="V43" s="339"/>
      <c r="W43" s="340"/>
      <c r="X43" s="341">
        <f t="shared" si="0"/>
        <v>0</v>
      </c>
      <c r="Y43" s="342"/>
      <c r="Z43" s="341">
        <f>IF(ISBLANK(U43), 1, VLOOKUP(U43, DATA!$AF$43:$AL$47, 6, FALSE))</f>
        <v>1</v>
      </c>
      <c r="AA43" s="342"/>
      <c r="AB43" s="345">
        <f t="shared" si="4"/>
        <v>0</v>
      </c>
      <c r="AC43" s="346"/>
      <c r="AD43" s="346"/>
      <c r="AE43" s="34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27"/>
      <c r="AU43" s="291"/>
      <c r="AV43" s="324"/>
      <c r="AW43" s="324"/>
      <c r="AX43" s="324"/>
      <c r="AY43" s="275"/>
      <c r="AZ43" s="291"/>
      <c r="BA43" s="307"/>
      <c r="BB43" s="307"/>
      <c r="BC43" s="307"/>
      <c r="BD43" s="228">
        <f t="shared" si="3"/>
        <v>0</v>
      </c>
      <c r="BE43" s="228"/>
      <c r="BF43" s="228">
        <f>IF(ISBLANK(BA43), 1, VLOOKUP(BA43, DATA!$AF$43:$AL$47, 6, FALSE))</f>
        <v>1</v>
      </c>
      <c r="BG43" s="228"/>
      <c r="BH43" s="231">
        <f t="shared" si="2"/>
        <v>0</v>
      </c>
      <c r="BI43" s="231"/>
      <c r="BJ43" s="231"/>
      <c r="BK43" s="231"/>
    </row>
    <row r="44" spans="1:65" x14ac:dyDescent="0.25">
      <c r="X44" s="126">
        <f>SUM(X5:X43)</f>
        <v>0</v>
      </c>
      <c r="AD44" s="126"/>
      <c r="AE44" s="147">
        <f>SUM(AB5:AB43)</f>
        <v>0</v>
      </c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>
        <f>SUM(BD5:BD43)</f>
        <v>0</v>
      </c>
      <c r="BE44" s="126"/>
      <c r="BF44" s="126"/>
      <c r="BG44" s="126"/>
      <c r="BH44" s="126"/>
      <c r="BI44" s="126"/>
      <c r="BJ44" s="126"/>
      <c r="BK44" s="147">
        <f>SUM(BH5:BH43)</f>
        <v>0</v>
      </c>
      <c r="BL44" s="147">
        <f>AE44+BK44</f>
        <v>0</v>
      </c>
      <c r="BM44" s="126">
        <f>X44+BD44</f>
        <v>0</v>
      </c>
    </row>
    <row r="47" spans="1:65" x14ac:dyDescent="0.25">
      <c r="AX47" s="209"/>
      <c r="AY47" s="210"/>
      <c r="AZ47" s="210"/>
      <c r="BA47" s="210"/>
      <c r="BB47" s="210"/>
    </row>
    <row r="48" spans="1:65" x14ac:dyDescent="0.25">
      <c r="AX48" s="209"/>
      <c r="AY48" s="210"/>
      <c r="AZ48" s="210"/>
      <c r="BA48" s="210"/>
      <c r="BB48" s="210"/>
    </row>
    <row r="49" spans="50:54" x14ac:dyDescent="0.25">
      <c r="AX49" s="209"/>
      <c r="AY49" s="210"/>
      <c r="AZ49" s="210"/>
      <c r="BA49" s="210"/>
      <c r="BB49" s="210"/>
    </row>
  </sheetData>
  <mergeCells count="662">
    <mergeCell ref="BA43:BC43"/>
    <mergeCell ref="BD43:BE43"/>
    <mergeCell ref="BF43:BG43"/>
    <mergeCell ref="BH43:BK43"/>
    <mergeCell ref="Z43:AA43"/>
    <mergeCell ref="AB43:AE43"/>
    <mergeCell ref="AG43:AS43"/>
    <mergeCell ref="AT43:AU43"/>
    <mergeCell ref="AV43:AX43"/>
    <mergeCell ref="AY43:AZ43"/>
    <mergeCell ref="A43:M43"/>
    <mergeCell ref="N43:O43"/>
    <mergeCell ref="P43:R43"/>
    <mergeCell ref="S43:T43"/>
    <mergeCell ref="U43:W43"/>
    <mergeCell ref="X43:Y43"/>
    <mergeCell ref="Z42:AA42"/>
    <mergeCell ref="AB42:AE42"/>
    <mergeCell ref="AG42:AS42"/>
    <mergeCell ref="BD41:BE41"/>
    <mergeCell ref="BF41:BG41"/>
    <mergeCell ref="BH41:BK41"/>
    <mergeCell ref="A42:M42"/>
    <mergeCell ref="N42:O42"/>
    <mergeCell ref="P42:R42"/>
    <mergeCell ref="S42:T42"/>
    <mergeCell ref="U42:W42"/>
    <mergeCell ref="X42:Y42"/>
    <mergeCell ref="Z41:AA41"/>
    <mergeCell ref="AB41:AE41"/>
    <mergeCell ref="AG41:AS41"/>
    <mergeCell ref="AT41:AU41"/>
    <mergeCell ref="AV41:AX41"/>
    <mergeCell ref="AY41:AZ41"/>
    <mergeCell ref="BA42:BC42"/>
    <mergeCell ref="BD42:BE42"/>
    <mergeCell ref="BF42:BG42"/>
    <mergeCell ref="BH42:BK42"/>
    <mergeCell ref="AT42:AU42"/>
    <mergeCell ref="AV42:AX42"/>
    <mergeCell ref="AY42:AZ42"/>
    <mergeCell ref="A41:M41"/>
    <mergeCell ref="N41:O41"/>
    <mergeCell ref="P41:R41"/>
    <mergeCell ref="S41:T41"/>
    <mergeCell ref="U41:W41"/>
    <mergeCell ref="X41:Y41"/>
    <mergeCell ref="Z40:AA40"/>
    <mergeCell ref="AB40:AE40"/>
    <mergeCell ref="AG40:AS40"/>
    <mergeCell ref="BA39:BC39"/>
    <mergeCell ref="P39:R39"/>
    <mergeCell ref="S39:T39"/>
    <mergeCell ref="U39:W39"/>
    <mergeCell ref="X39:Y39"/>
    <mergeCell ref="BA41:BC41"/>
    <mergeCell ref="BD39:BE39"/>
    <mergeCell ref="BF39:BG39"/>
    <mergeCell ref="BH39:BK39"/>
    <mergeCell ref="A40:M40"/>
    <mergeCell ref="N40:O40"/>
    <mergeCell ref="P40:R40"/>
    <mergeCell ref="S40:T40"/>
    <mergeCell ref="U40:W40"/>
    <mergeCell ref="X40:Y40"/>
    <mergeCell ref="Z39:AA39"/>
    <mergeCell ref="AB39:AE39"/>
    <mergeCell ref="AG39:AS39"/>
    <mergeCell ref="AT39:AU39"/>
    <mergeCell ref="AV39:AX39"/>
    <mergeCell ref="AY39:AZ39"/>
    <mergeCell ref="BA40:BC40"/>
    <mergeCell ref="BD40:BE40"/>
    <mergeCell ref="BF40:BG40"/>
    <mergeCell ref="BH40:BK40"/>
    <mergeCell ref="AT40:AU40"/>
    <mergeCell ref="AV40:AX40"/>
    <mergeCell ref="AY40:AZ40"/>
    <mergeCell ref="A39:M39"/>
    <mergeCell ref="N39:O39"/>
    <mergeCell ref="BA37:BC37"/>
    <mergeCell ref="BD37:BE37"/>
    <mergeCell ref="BF37:BG37"/>
    <mergeCell ref="BH37:BK37"/>
    <mergeCell ref="A38:M38"/>
    <mergeCell ref="N38:O38"/>
    <mergeCell ref="P38:R38"/>
    <mergeCell ref="S38:T38"/>
    <mergeCell ref="U38:W38"/>
    <mergeCell ref="X38:Y38"/>
    <mergeCell ref="Z37:AA37"/>
    <mergeCell ref="AB37:AE37"/>
    <mergeCell ref="AG37:AS37"/>
    <mergeCell ref="AT37:AU37"/>
    <mergeCell ref="AV37:AX37"/>
    <mergeCell ref="AY37:AZ37"/>
    <mergeCell ref="BA38:BC38"/>
    <mergeCell ref="BD38:BE38"/>
    <mergeCell ref="BF38:BG38"/>
    <mergeCell ref="BH38:BK38"/>
    <mergeCell ref="AT38:AU38"/>
    <mergeCell ref="AV38:AX38"/>
    <mergeCell ref="AY38:AZ38"/>
    <mergeCell ref="A37:M37"/>
    <mergeCell ref="N37:O37"/>
    <mergeCell ref="P37:R37"/>
    <mergeCell ref="S37:T37"/>
    <mergeCell ref="U37:W37"/>
    <mergeCell ref="X37:Y37"/>
    <mergeCell ref="Z36:AA36"/>
    <mergeCell ref="AB36:AE36"/>
    <mergeCell ref="AG36:AS36"/>
    <mergeCell ref="Z38:AA38"/>
    <mergeCell ref="AB38:AE38"/>
    <mergeCell ref="AG38:AS38"/>
    <mergeCell ref="BD35:BE35"/>
    <mergeCell ref="BF35:BG35"/>
    <mergeCell ref="BH35:BK35"/>
    <mergeCell ref="A36:M36"/>
    <mergeCell ref="N36:O36"/>
    <mergeCell ref="P36:R36"/>
    <mergeCell ref="S36:T36"/>
    <mergeCell ref="U36:W36"/>
    <mergeCell ref="X36:Y36"/>
    <mergeCell ref="Z35:AA35"/>
    <mergeCell ref="AB35:AE35"/>
    <mergeCell ref="AG35:AS35"/>
    <mergeCell ref="AT35:AU35"/>
    <mergeCell ref="AV35:AX35"/>
    <mergeCell ref="AY35:AZ35"/>
    <mergeCell ref="BA36:BC36"/>
    <mergeCell ref="BD36:BE36"/>
    <mergeCell ref="BF36:BG36"/>
    <mergeCell ref="BH36:BK36"/>
    <mergeCell ref="AT36:AU36"/>
    <mergeCell ref="AV36:AX36"/>
    <mergeCell ref="AY36:AZ36"/>
    <mergeCell ref="A35:M35"/>
    <mergeCell ref="N35:O35"/>
    <mergeCell ref="P35:R35"/>
    <mergeCell ref="S35:T35"/>
    <mergeCell ref="U35:W35"/>
    <mergeCell ref="X35:Y35"/>
    <mergeCell ref="Z34:AA34"/>
    <mergeCell ref="AB34:AE34"/>
    <mergeCell ref="AG34:AS34"/>
    <mergeCell ref="BA33:BC33"/>
    <mergeCell ref="P33:R33"/>
    <mergeCell ref="S33:T33"/>
    <mergeCell ref="U33:W33"/>
    <mergeCell ref="X33:Y33"/>
    <mergeCell ref="BA35:BC35"/>
    <mergeCell ref="BD33:BE33"/>
    <mergeCell ref="BF33:BG33"/>
    <mergeCell ref="BH33:BK33"/>
    <mergeCell ref="A34:M34"/>
    <mergeCell ref="N34:O34"/>
    <mergeCell ref="P34:R34"/>
    <mergeCell ref="S34:T34"/>
    <mergeCell ref="U34:W34"/>
    <mergeCell ref="X34:Y34"/>
    <mergeCell ref="Z33:AA33"/>
    <mergeCell ref="AB33:AE33"/>
    <mergeCell ref="AG33:AS33"/>
    <mergeCell ref="AT33:AU33"/>
    <mergeCell ref="AV33:AX33"/>
    <mergeCell ref="AY33:AZ33"/>
    <mergeCell ref="BA34:BC34"/>
    <mergeCell ref="BD34:BE34"/>
    <mergeCell ref="BF34:BG34"/>
    <mergeCell ref="BH34:BK34"/>
    <mergeCell ref="AT34:AU34"/>
    <mergeCell ref="AV34:AX34"/>
    <mergeCell ref="AY34:AZ34"/>
    <mergeCell ref="A33:M33"/>
    <mergeCell ref="N33:O33"/>
    <mergeCell ref="BA31:BC31"/>
    <mergeCell ref="BD31:BE31"/>
    <mergeCell ref="BF31:BG31"/>
    <mergeCell ref="BH31:BK31"/>
    <mergeCell ref="A32:M32"/>
    <mergeCell ref="N32:O32"/>
    <mergeCell ref="P32:R32"/>
    <mergeCell ref="S32:T32"/>
    <mergeCell ref="U32:W32"/>
    <mergeCell ref="X32:Y32"/>
    <mergeCell ref="Z31:AA31"/>
    <mergeCell ref="AB31:AE31"/>
    <mergeCell ref="AG31:AS31"/>
    <mergeCell ref="AT31:AU31"/>
    <mergeCell ref="AV31:AX31"/>
    <mergeCell ref="AY31:AZ31"/>
    <mergeCell ref="BA32:BC32"/>
    <mergeCell ref="BD32:BE32"/>
    <mergeCell ref="BF32:BG32"/>
    <mergeCell ref="BH32:BK32"/>
    <mergeCell ref="AT32:AU32"/>
    <mergeCell ref="AV32:AX32"/>
    <mergeCell ref="AY32:AZ32"/>
    <mergeCell ref="A31:M31"/>
    <mergeCell ref="N31:O31"/>
    <mergeCell ref="P31:R31"/>
    <mergeCell ref="S31:T31"/>
    <mergeCell ref="U31:W31"/>
    <mergeCell ref="X31:Y31"/>
    <mergeCell ref="Z30:AA30"/>
    <mergeCell ref="AB30:AE30"/>
    <mergeCell ref="AG30:AS30"/>
    <mergeCell ref="Z32:AA32"/>
    <mergeCell ref="AB32:AE32"/>
    <mergeCell ref="AG32:AS32"/>
    <mergeCell ref="BD29:BE29"/>
    <mergeCell ref="BF29:BG29"/>
    <mergeCell ref="BH29:BK29"/>
    <mergeCell ref="A30:M30"/>
    <mergeCell ref="N30:O30"/>
    <mergeCell ref="P30:R30"/>
    <mergeCell ref="S30:T30"/>
    <mergeCell ref="U30:W30"/>
    <mergeCell ref="X30:Y30"/>
    <mergeCell ref="Z29:AA29"/>
    <mergeCell ref="AB29:AE29"/>
    <mergeCell ref="AG29:AS29"/>
    <mergeCell ref="AT29:AU29"/>
    <mergeCell ref="AV29:AX29"/>
    <mergeCell ref="AY29:AZ29"/>
    <mergeCell ref="BA30:BC30"/>
    <mergeCell ref="BD30:BE30"/>
    <mergeCell ref="BF30:BG30"/>
    <mergeCell ref="BH30:BK30"/>
    <mergeCell ref="AT30:AU30"/>
    <mergeCell ref="AV30:AX30"/>
    <mergeCell ref="AY30:AZ30"/>
    <mergeCell ref="A29:M29"/>
    <mergeCell ref="N29:O29"/>
    <mergeCell ref="P29:R29"/>
    <mergeCell ref="S29:T29"/>
    <mergeCell ref="U29:W29"/>
    <mergeCell ref="X29:Y29"/>
    <mergeCell ref="Z28:AA28"/>
    <mergeCell ref="AB28:AE28"/>
    <mergeCell ref="AG28:AS28"/>
    <mergeCell ref="BA27:BC27"/>
    <mergeCell ref="P27:R27"/>
    <mergeCell ref="S27:T27"/>
    <mergeCell ref="U27:W27"/>
    <mergeCell ref="X27:Y27"/>
    <mergeCell ref="BA29:BC29"/>
    <mergeCell ref="BD27:BE27"/>
    <mergeCell ref="BF27:BG27"/>
    <mergeCell ref="BH27:BK27"/>
    <mergeCell ref="A28:M28"/>
    <mergeCell ref="N28:O28"/>
    <mergeCell ref="P28:R28"/>
    <mergeCell ref="S28:T28"/>
    <mergeCell ref="U28:W28"/>
    <mergeCell ref="X28:Y28"/>
    <mergeCell ref="Z27:AA27"/>
    <mergeCell ref="AB27:AE27"/>
    <mergeCell ref="AG27:AS27"/>
    <mergeCell ref="AT27:AU27"/>
    <mergeCell ref="AV27:AX27"/>
    <mergeCell ref="AY27:AZ27"/>
    <mergeCell ref="BA28:BC28"/>
    <mergeCell ref="BD28:BE28"/>
    <mergeCell ref="BF28:BG28"/>
    <mergeCell ref="BH28:BK28"/>
    <mergeCell ref="AT28:AU28"/>
    <mergeCell ref="AV28:AX28"/>
    <mergeCell ref="AY28:AZ28"/>
    <mergeCell ref="A27:M27"/>
    <mergeCell ref="N27:O27"/>
    <mergeCell ref="BA25:BC25"/>
    <mergeCell ref="BD25:BE25"/>
    <mergeCell ref="BF25:BG25"/>
    <mergeCell ref="BH25:BK25"/>
    <mergeCell ref="A26:M26"/>
    <mergeCell ref="N26:O26"/>
    <mergeCell ref="P26:R26"/>
    <mergeCell ref="S26:T26"/>
    <mergeCell ref="U26:W26"/>
    <mergeCell ref="X26:Y26"/>
    <mergeCell ref="Z25:AA25"/>
    <mergeCell ref="AB25:AE25"/>
    <mergeCell ref="AG25:AS25"/>
    <mergeCell ref="AT25:AU25"/>
    <mergeCell ref="AV25:AX25"/>
    <mergeCell ref="AY25:AZ25"/>
    <mergeCell ref="BA26:BC26"/>
    <mergeCell ref="BD26:BE26"/>
    <mergeCell ref="BF26:BG26"/>
    <mergeCell ref="BH26:BK26"/>
    <mergeCell ref="AT26:AU26"/>
    <mergeCell ref="AV26:AX26"/>
    <mergeCell ref="AY26:AZ26"/>
    <mergeCell ref="A25:M25"/>
    <mergeCell ref="N25:O25"/>
    <mergeCell ref="P25:R25"/>
    <mergeCell ref="S25:T25"/>
    <mergeCell ref="U25:W25"/>
    <mergeCell ref="X25:Y25"/>
    <mergeCell ref="Z24:AA24"/>
    <mergeCell ref="AB24:AE24"/>
    <mergeCell ref="AG24:AS24"/>
    <mergeCell ref="Z26:AA26"/>
    <mergeCell ref="AB26:AE26"/>
    <mergeCell ref="AG26:AS26"/>
    <mergeCell ref="BD23:BE23"/>
    <mergeCell ref="BF23:BG23"/>
    <mergeCell ref="BH23:BK23"/>
    <mergeCell ref="A24:M24"/>
    <mergeCell ref="N24:O24"/>
    <mergeCell ref="P24:R24"/>
    <mergeCell ref="S24:T24"/>
    <mergeCell ref="U24:W24"/>
    <mergeCell ref="X24:Y24"/>
    <mergeCell ref="Z23:AA23"/>
    <mergeCell ref="AB23:AE23"/>
    <mergeCell ref="AG23:AS23"/>
    <mergeCell ref="AT23:AU23"/>
    <mergeCell ref="AV23:AX23"/>
    <mergeCell ref="AY23:AZ23"/>
    <mergeCell ref="BA24:BC24"/>
    <mergeCell ref="BD24:BE24"/>
    <mergeCell ref="BF24:BG24"/>
    <mergeCell ref="BH24:BK24"/>
    <mergeCell ref="AT24:AU24"/>
    <mergeCell ref="AV24:AX24"/>
    <mergeCell ref="AY24:AZ24"/>
    <mergeCell ref="A23:M23"/>
    <mergeCell ref="N23:O23"/>
    <mergeCell ref="P23:R23"/>
    <mergeCell ref="S23:T23"/>
    <mergeCell ref="U23:W23"/>
    <mergeCell ref="X23:Y23"/>
    <mergeCell ref="Z22:AA22"/>
    <mergeCell ref="AB22:AE22"/>
    <mergeCell ref="AG22:AS22"/>
    <mergeCell ref="BA21:BC21"/>
    <mergeCell ref="P21:R21"/>
    <mergeCell ref="S21:T21"/>
    <mergeCell ref="U21:W21"/>
    <mergeCell ref="X21:Y21"/>
    <mergeCell ref="BA23:BC23"/>
    <mergeCell ref="BD21:BE21"/>
    <mergeCell ref="BF21:BG21"/>
    <mergeCell ref="BH21:BK21"/>
    <mergeCell ref="A22:M22"/>
    <mergeCell ref="N22:O22"/>
    <mergeCell ref="P22:R22"/>
    <mergeCell ref="S22:T22"/>
    <mergeCell ref="U22:W22"/>
    <mergeCell ref="X22:Y22"/>
    <mergeCell ref="Z21:AA21"/>
    <mergeCell ref="AB21:AE21"/>
    <mergeCell ref="AG21:AS21"/>
    <mergeCell ref="AT21:AU21"/>
    <mergeCell ref="AV21:AX21"/>
    <mergeCell ref="AY21:AZ21"/>
    <mergeCell ref="BA22:BC22"/>
    <mergeCell ref="BD22:BE22"/>
    <mergeCell ref="BF22:BG22"/>
    <mergeCell ref="BH22:BK22"/>
    <mergeCell ref="AT22:AU22"/>
    <mergeCell ref="AV22:AX22"/>
    <mergeCell ref="AY22:AZ22"/>
    <mergeCell ref="A21:M21"/>
    <mergeCell ref="N21:O21"/>
    <mergeCell ref="BA19:BC19"/>
    <mergeCell ref="BD19:BE19"/>
    <mergeCell ref="BF19:BG19"/>
    <mergeCell ref="BH19:BK19"/>
    <mergeCell ref="A20:M20"/>
    <mergeCell ref="N20:O20"/>
    <mergeCell ref="P20:R20"/>
    <mergeCell ref="S20:T20"/>
    <mergeCell ref="U20:W20"/>
    <mergeCell ref="X20:Y20"/>
    <mergeCell ref="Z19:AA19"/>
    <mergeCell ref="AB19:AE19"/>
    <mergeCell ref="AG19:AS19"/>
    <mergeCell ref="AT19:AU19"/>
    <mergeCell ref="AV19:AX19"/>
    <mergeCell ref="AY19:AZ19"/>
    <mergeCell ref="BA20:BC20"/>
    <mergeCell ref="BD20:BE20"/>
    <mergeCell ref="BF20:BG20"/>
    <mergeCell ref="BH20:BK20"/>
    <mergeCell ref="AT20:AU20"/>
    <mergeCell ref="AV20:AX20"/>
    <mergeCell ref="AY20:AZ20"/>
    <mergeCell ref="A19:M19"/>
    <mergeCell ref="N19:O19"/>
    <mergeCell ref="P19:R19"/>
    <mergeCell ref="S19:T19"/>
    <mergeCell ref="U19:W19"/>
    <mergeCell ref="X19:Y19"/>
    <mergeCell ref="Z18:AA18"/>
    <mergeCell ref="AB18:AE18"/>
    <mergeCell ref="AG18:AS18"/>
    <mergeCell ref="Z20:AA20"/>
    <mergeCell ref="AB20:AE20"/>
    <mergeCell ref="AG20:AS20"/>
    <mergeCell ref="BD17:BE17"/>
    <mergeCell ref="BF17:BG17"/>
    <mergeCell ref="BH17:BK17"/>
    <mergeCell ref="A18:M18"/>
    <mergeCell ref="N18:O18"/>
    <mergeCell ref="P18:R18"/>
    <mergeCell ref="S18:T18"/>
    <mergeCell ref="U18:W18"/>
    <mergeCell ref="X18:Y18"/>
    <mergeCell ref="Z17:AA17"/>
    <mergeCell ref="AB17:AE17"/>
    <mergeCell ref="AG17:AS17"/>
    <mergeCell ref="AT17:AU17"/>
    <mergeCell ref="AV17:AX17"/>
    <mergeCell ref="AY17:AZ17"/>
    <mergeCell ref="BA18:BC18"/>
    <mergeCell ref="BD18:BE18"/>
    <mergeCell ref="BF18:BG18"/>
    <mergeCell ref="BH18:BK18"/>
    <mergeCell ref="AT18:AU18"/>
    <mergeCell ref="AV18:AX18"/>
    <mergeCell ref="AY18:AZ18"/>
    <mergeCell ref="A17:M17"/>
    <mergeCell ref="N17:O17"/>
    <mergeCell ref="P17:R17"/>
    <mergeCell ref="S17:T17"/>
    <mergeCell ref="U17:W17"/>
    <mergeCell ref="X17:Y17"/>
    <mergeCell ref="Z16:AA16"/>
    <mergeCell ref="AB16:AE16"/>
    <mergeCell ref="AG16:AS16"/>
    <mergeCell ref="BA15:BC15"/>
    <mergeCell ref="P15:R15"/>
    <mergeCell ref="S15:T15"/>
    <mergeCell ref="U15:W15"/>
    <mergeCell ref="X15:Y15"/>
    <mergeCell ref="BA17:BC17"/>
    <mergeCell ref="BD15:BE15"/>
    <mergeCell ref="BF15:BG15"/>
    <mergeCell ref="BH15:BK15"/>
    <mergeCell ref="A16:M16"/>
    <mergeCell ref="N16:O16"/>
    <mergeCell ref="P16:R16"/>
    <mergeCell ref="S16:T16"/>
    <mergeCell ref="U16:W16"/>
    <mergeCell ref="X16:Y16"/>
    <mergeCell ref="Z15:AA15"/>
    <mergeCell ref="AB15:AE15"/>
    <mergeCell ref="AG15:AS15"/>
    <mergeCell ref="AT15:AU15"/>
    <mergeCell ref="AV15:AX15"/>
    <mergeCell ref="AY15:AZ15"/>
    <mergeCell ref="BA16:BC16"/>
    <mergeCell ref="BD16:BE16"/>
    <mergeCell ref="BF16:BG16"/>
    <mergeCell ref="BH16:BK16"/>
    <mergeCell ref="AT16:AU16"/>
    <mergeCell ref="AV16:AX16"/>
    <mergeCell ref="AY16:AZ16"/>
    <mergeCell ref="A15:M15"/>
    <mergeCell ref="N15:O15"/>
    <mergeCell ref="BA13:BC13"/>
    <mergeCell ref="BD13:BE13"/>
    <mergeCell ref="BF13:BG13"/>
    <mergeCell ref="BH13:BK13"/>
    <mergeCell ref="A14:M14"/>
    <mergeCell ref="N14:O14"/>
    <mergeCell ref="P14:R14"/>
    <mergeCell ref="S14:T14"/>
    <mergeCell ref="U14:W14"/>
    <mergeCell ref="X14:Y14"/>
    <mergeCell ref="Z13:AA13"/>
    <mergeCell ref="AB13:AE13"/>
    <mergeCell ref="AG13:AS13"/>
    <mergeCell ref="AT13:AU13"/>
    <mergeCell ref="AV13:AX13"/>
    <mergeCell ref="AY13:AZ13"/>
    <mergeCell ref="BA14:BC14"/>
    <mergeCell ref="BD14:BE14"/>
    <mergeCell ref="BF14:BG14"/>
    <mergeCell ref="BH14:BK14"/>
    <mergeCell ref="AT14:AU14"/>
    <mergeCell ref="AV14:AX14"/>
    <mergeCell ref="AY14:AZ14"/>
    <mergeCell ref="A13:M13"/>
    <mergeCell ref="N13:O13"/>
    <mergeCell ref="P13:R13"/>
    <mergeCell ref="S13:T13"/>
    <mergeCell ref="U13:W13"/>
    <mergeCell ref="X13:Y13"/>
    <mergeCell ref="Z12:AA12"/>
    <mergeCell ref="AB12:AE12"/>
    <mergeCell ref="AG12:AS12"/>
    <mergeCell ref="Z14:AA14"/>
    <mergeCell ref="AB14:AE14"/>
    <mergeCell ref="AG14:AS14"/>
    <mergeCell ref="BD11:BE11"/>
    <mergeCell ref="BF11:BG11"/>
    <mergeCell ref="BH11:BK11"/>
    <mergeCell ref="A12:M12"/>
    <mergeCell ref="N12:O12"/>
    <mergeCell ref="P12:R12"/>
    <mergeCell ref="S12:T12"/>
    <mergeCell ref="U12:W12"/>
    <mergeCell ref="X12:Y12"/>
    <mergeCell ref="Z11:AA11"/>
    <mergeCell ref="AB11:AE11"/>
    <mergeCell ref="AG11:AS11"/>
    <mergeCell ref="AT11:AU11"/>
    <mergeCell ref="AV11:AX11"/>
    <mergeCell ref="AY11:AZ11"/>
    <mergeCell ref="BA12:BC12"/>
    <mergeCell ref="BD12:BE12"/>
    <mergeCell ref="BF12:BG12"/>
    <mergeCell ref="BH12:BK12"/>
    <mergeCell ref="AT12:AU12"/>
    <mergeCell ref="AV12:AX12"/>
    <mergeCell ref="AY12:AZ12"/>
    <mergeCell ref="A11:M11"/>
    <mergeCell ref="N11:O11"/>
    <mergeCell ref="P11:R11"/>
    <mergeCell ref="S11:T11"/>
    <mergeCell ref="U11:W11"/>
    <mergeCell ref="X11:Y11"/>
    <mergeCell ref="Z10:AA10"/>
    <mergeCell ref="AB10:AE10"/>
    <mergeCell ref="AG10:AS10"/>
    <mergeCell ref="BA9:BC9"/>
    <mergeCell ref="P9:R9"/>
    <mergeCell ref="S9:T9"/>
    <mergeCell ref="U9:W9"/>
    <mergeCell ref="X9:Y9"/>
    <mergeCell ref="BA11:BC11"/>
    <mergeCell ref="BD9:BE9"/>
    <mergeCell ref="BF9:BG9"/>
    <mergeCell ref="BH9:BK9"/>
    <mergeCell ref="A10:M10"/>
    <mergeCell ref="N10:O10"/>
    <mergeCell ref="P10:R10"/>
    <mergeCell ref="S10:T10"/>
    <mergeCell ref="U10:W10"/>
    <mergeCell ref="X10:Y10"/>
    <mergeCell ref="Z9:AA9"/>
    <mergeCell ref="AB9:AE9"/>
    <mergeCell ref="AG9:AS9"/>
    <mergeCell ref="AT9:AU9"/>
    <mergeCell ref="AV9:AX9"/>
    <mergeCell ref="AY9:AZ9"/>
    <mergeCell ref="BA10:BC10"/>
    <mergeCell ref="BD10:BE10"/>
    <mergeCell ref="BF10:BG10"/>
    <mergeCell ref="BH10:BK10"/>
    <mergeCell ref="AT10:AU10"/>
    <mergeCell ref="AV10:AX10"/>
    <mergeCell ref="AY10:AZ10"/>
    <mergeCell ref="A9:M9"/>
    <mergeCell ref="N9:O9"/>
    <mergeCell ref="BA7:BC7"/>
    <mergeCell ref="BD7:BE7"/>
    <mergeCell ref="BF7:BG7"/>
    <mergeCell ref="BH7:BK7"/>
    <mergeCell ref="A8:M8"/>
    <mergeCell ref="N8:O8"/>
    <mergeCell ref="P8:R8"/>
    <mergeCell ref="S8:T8"/>
    <mergeCell ref="U8:W8"/>
    <mergeCell ref="X8:Y8"/>
    <mergeCell ref="Z7:AA7"/>
    <mergeCell ref="AB7:AE7"/>
    <mergeCell ref="AG7:AS7"/>
    <mergeCell ref="AT7:AU7"/>
    <mergeCell ref="AV7:AX7"/>
    <mergeCell ref="AY7:AZ7"/>
    <mergeCell ref="BA8:BC8"/>
    <mergeCell ref="BD8:BE8"/>
    <mergeCell ref="BF8:BG8"/>
    <mergeCell ref="BH8:BK8"/>
    <mergeCell ref="AT8:AU8"/>
    <mergeCell ref="AV8:AX8"/>
    <mergeCell ref="AY8:AZ8"/>
    <mergeCell ref="A7:M7"/>
    <mergeCell ref="N7:O7"/>
    <mergeCell ref="P7:R7"/>
    <mergeCell ref="S7:T7"/>
    <mergeCell ref="U7:W7"/>
    <mergeCell ref="X7:Y7"/>
    <mergeCell ref="Z6:AA6"/>
    <mergeCell ref="AB6:AE6"/>
    <mergeCell ref="AG6:AS6"/>
    <mergeCell ref="Z8:AA8"/>
    <mergeCell ref="AB8:AE8"/>
    <mergeCell ref="AG8:AS8"/>
    <mergeCell ref="BF5:BG5"/>
    <mergeCell ref="BH5:BK5"/>
    <mergeCell ref="A6:M6"/>
    <mergeCell ref="N6:O6"/>
    <mergeCell ref="P6:R6"/>
    <mergeCell ref="S6:T6"/>
    <mergeCell ref="U6:W6"/>
    <mergeCell ref="X6:Y6"/>
    <mergeCell ref="Z5:AA5"/>
    <mergeCell ref="AB5:AE5"/>
    <mergeCell ref="AG5:AS5"/>
    <mergeCell ref="AT5:AU5"/>
    <mergeCell ref="AV5:AX5"/>
    <mergeCell ref="AY5:AZ5"/>
    <mergeCell ref="BA6:BC6"/>
    <mergeCell ref="BD6:BE6"/>
    <mergeCell ref="BF6:BG6"/>
    <mergeCell ref="BH6:BK6"/>
    <mergeCell ref="AT6:AU6"/>
    <mergeCell ref="AV6:AX6"/>
    <mergeCell ref="AY6:AZ6"/>
    <mergeCell ref="BA4:BC4"/>
    <mergeCell ref="BD4:BE4"/>
    <mergeCell ref="BF4:BG4"/>
    <mergeCell ref="BH4:BK4"/>
    <mergeCell ref="A5:M5"/>
    <mergeCell ref="N5:O5"/>
    <mergeCell ref="P5:R5"/>
    <mergeCell ref="S5:T5"/>
    <mergeCell ref="U5:W5"/>
    <mergeCell ref="X5:Y5"/>
    <mergeCell ref="Z4:AA4"/>
    <mergeCell ref="AB4:AE4"/>
    <mergeCell ref="AG4:AS4"/>
    <mergeCell ref="AT4:AU4"/>
    <mergeCell ref="AV4:AX4"/>
    <mergeCell ref="AY4:AZ4"/>
    <mergeCell ref="A4:M4"/>
    <mergeCell ref="N4:O4"/>
    <mergeCell ref="P4:R4"/>
    <mergeCell ref="S4:T4"/>
    <mergeCell ref="U4:W4"/>
    <mergeCell ref="X4:Y4"/>
    <mergeCell ref="BA5:BC5"/>
    <mergeCell ref="BD5:BE5"/>
    <mergeCell ref="W2:Z2"/>
    <mergeCell ref="AA2:AB2"/>
    <mergeCell ref="X3:Y3"/>
    <mergeCell ref="Z3:AA3"/>
    <mergeCell ref="BD3:BE3"/>
    <mergeCell ref="BF3:BG3"/>
    <mergeCell ref="W1:Z1"/>
    <mergeCell ref="AA1:AB1"/>
    <mergeCell ref="AD1:AG1"/>
    <mergeCell ref="AH1:AI1"/>
    <mergeCell ref="A2:E2"/>
    <mergeCell ref="F2:G2"/>
    <mergeCell ref="I2:L2"/>
    <mergeCell ref="M2:N2"/>
    <mergeCell ref="P2:Q2"/>
    <mergeCell ref="R2:U2"/>
    <mergeCell ref="A1:B1"/>
    <mergeCell ref="C1:G1"/>
    <mergeCell ref="I1:K1"/>
    <mergeCell ref="L1:N1"/>
    <mergeCell ref="P1:S1"/>
    <mergeCell ref="T1:U1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DATA!$AF$43:$AF$47</xm:f>
          </x14:formula1>
          <xm:sqref>U5:W43 BA5:BC43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workbookViewId="0">
      <pane ySplit="2" topLeftCell="A3" activePane="bottomLeft" state="frozen"/>
      <selection pane="bottomLeft" activeCell="A5" sqref="A5:C5"/>
    </sheetView>
  </sheetViews>
  <sheetFormatPr defaultColWidth="3.42578125" defaultRowHeight="15" x14ac:dyDescent="0.25"/>
  <cols>
    <col min="1" max="1" width="3.42578125" style="123"/>
    <col min="2" max="24" width="3.42578125" style="121"/>
    <col min="25" max="25" width="3.42578125" style="121" customWidth="1"/>
    <col min="26" max="36" width="3.42578125" style="121"/>
    <col min="37" max="38" width="3.42578125" style="121" customWidth="1"/>
    <col min="39" max="16384" width="3.42578125" style="121"/>
  </cols>
  <sheetData>
    <row r="1" spans="1:52" s="187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196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196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196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196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196" t="s">
        <v>56</v>
      </c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</row>
    <row r="2" spans="1:52" s="187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196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196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196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196" t="s">
        <v>56</v>
      </c>
      <c r="AD2" s="195"/>
      <c r="AE2" s="195"/>
      <c r="AF2" s="195"/>
      <c r="AG2" s="195"/>
      <c r="AH2" s="195"/>
      <c r="AI2" s="195"/>
      <c r="AJ2" s="196" t="s">
        <v>56</v>
      </c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</row>
    <row r="3" spans="1:52" s="187" customFormat="1" x14ac:dyDescent="0.25">
      <c r="A3" s="191"/>
      <c r="B3" s="191"/>
      <c r="C3" s="191"/>
      <c r="D3" s="191"/>
      <c r="E3" s="191"/>
      <c r="F3" s="189"/>
      <c r="G3" s="189"/>
      <c r="H3" s="192"/>
      <c r="I3" s="188"/>
      <c r="J3" s="188"/>
      <c r="K3" s="188"/>
      <c r="L3" s="188"/>
      <c r="M3" s="189"/>
      <c r="N3" s="192"/>
      <c r="O3" s="188"/>
      <c r="P3" s="190"/>
      <c r="Q3" s="190"/>
      <c r="U3" s="192"/>
      <c r="AA3" s="187" t="s">
        <v>492</v>
      </c>
    </row>
    <row r="4" spans="1:52" s="187" customFormat="1" x14ac:dyDescent="0.25">
      <c r="A4" s="279" t="s">
        <v>342</v>
      </c>
      <c r="B4" s="279"/>
      <c r="C4" s="279"/>
      <c r="D4" s="257" t="s">
        <v>486</v>
      </c>
      <c r="E4" s="257"/>
      <c r="F4" s="257"/>
      <c r="G4" s="257"/>
      <c r="H4" s="257"/>
      <c r="I4" s="257"/>
      <c r="J4" s="257"/>
      <c r="K4" s="257"/>
      <c r="L4" s="257"/>
      <c r="M4" s="196" t="s">
        <v>557</v>
      </c>
      <c r="N4" s="196" t="s">
        <v>558</v>
      </c>
      <c r="O4" s="196" t="s">
        <v>559</v>
      </c>
      <c r="P4" s="196" t="s">
        <v>560</v>
      </c>
      <c r="Q4" s="196" t="s">
        <v>561</v>
      </c>
      <c r="R4" s="196" t="s">
        <v>562</v>
      </c>
      <c r="S4" s="196" t="s">
        <v>564</v>
      </c>
      <c r="T4" s="196" t="s">
        <v>563</v>
      </c>
      <c r="U4" s="251" t="s">
        <v>232</v>
      </c>
      <c r="V4" s="251"/>
      <c r="W4" s="251"/>
      <c r="X4" s="251"/>
      <c r="Y4" s="251"/>
      <c r="AA4" s="196" t="s">
        <v>566</v>
      </c>
      <c r="AB4" s="196" t="s">
        <v>491</v>
      </c>
      <c r="AC4" s="196" t="s">
        <v>567</v>
      </c>
      <c r="AD4" s="196" t="s">
        <v>568</v>
      </c>
      <c r="AE4" s="196" t="s">
        <v>565</v>
      </c>
      <c r="AF4" s="196" t="s">
        <v>569</v>
      </c>
      <c r="AG4" s="251" t="s">
        <v>493</v>
      </c>
      <c r="AH4" s="251"/>
      <c r="AI4" s="251"/>
      <c r="AJ4" s="251"/>
      <c r="AK4" s="251"/>
      <c r="AM4" s="187" t="s">
        <v>570</v>
      </c>
    </row>
    <row r="5" spans="1:52" x14ac:dyDescent="0.25">
      <c r="A5" s="307"/>
      <c r="B5" s="307"/>
      <c r="C5" s="307"/>
      <c r="D5" s="274"/>
      <c r="E5" s="274"/>
      <c r="F5" s="274"/>
      <c r="G5" s="274"/>
      <c r="H5" s="274"/>
      <c r="I5" s="274"/>
      <c r="J5" s="274"/>
      <c r="K5" s="274"/>
      <c r="L5" s="274"/>
      <c r="M5" s="199" t="e">
        <f>VLOOKUP($D5, DATA!$F$87:$V$126, 7, FALSE)</f>
        <v>#N/A</v>
      </c>
      <c r="N5" s="199" t="e">
        <f>VLOOKUP($D5, DATA!$F$87:$V$126, 8, FALSE)</f>
        <v>#N/A</v>
      </c>
      <c r="O5" s="199" t="e">
        <f>VLOOKUP($D5, DATA!$F$87:$V$126, 9, FALSE)</f>
        <v>#N/A</v>
      </c>
      <c r="P5" s="199" t="e">
        <f>VLOOKUP($D5, DATA!$F$87:$V$126, 10, FALSE)</f>
        <v>#N/A</v>
      </c>
      <c r="Q5" s="199" t="e">
        <f>VLOOKUP($D5, DATA!$F$87:$V$126, 11, FALSE)</f>
        <v>#N/A</v>
      </c>
      <c r="R5" s="199" t="e">
        <f>VLOOKUP($D5, DATA!$F$87:$V$126, 12, FALSE)</f>
        <v>#N/A</v>
      </c>
      <c r="S5" s="199" t="e">
        <f>VLOOKUP($D5, DATA!$F$87:$V$126, 13, FALSE)</f>
        <v>#N/A</v>
      </c>
      <c r="T5" s="199" t="e">
        <f>VLOOKUP($D5, DATA!$F$87:$V$126, 14, FALSE)</f>
        <v>#N/A</v>
      </c>
      <c r="U5" s="231">
        <f>IF(ISBLANK(D5), 0, VLOOKUP($D5, DATA!$F$87:$V$126, 15, FALSE))</f>
        <v>0</v>
      </c>
      <c r="V5" s="231"/>
      <c r="W5" s="231"/>
      <c r="X5" s="231"/>
      <c r="Y5" s="231"/>
      <c r="Z5" s="193"/>
      <c r="AA5" s="194"/>
      <c r="AB5" s="194"/>
      <c r="AC5" s="194"/>
      <c r="AD5" s="194"/>
      <c r="AE5" s="194"/>
      <c r="AF5" s="194"/>
      <c r="AG5" s="231">
        <f t="shared" ref="AG5:AG34" si="0">(AA5*500)+(AB5*500)+(AC5*500)+(AD5*500)+(AE5*500)+(AF5*500)</f>
        <v>0</v>
      </c>
      <c r="AH5" s="231"/>
      <c r="AI5" s="231"/>
      <c r="AJ5" s="231"/>
      <c r="AK5" s="231"/>
      <c r="AM5" s="348"/>
      <c r="AN5" s="348"/>
      <c r="AO5" s="348"/>
      <c r="AP5" s="348"/>
      <c r="AQ5" s="348"/>
      <c r="AR5" s="348"/>
      <c r="AS5" s="348"/>
      <c r="AT5" s="226" t="s">
        <v>232</v>
      </c>
      <c r="AU5" s="226"/>
      <c r="AV5" s="349">
        <f>IF(ISBLANK(AM5), 0, VLOOKUP(AM5, DATA!X70:AJ80, 11, FALSE))</f>
        <v>0</v>
      </c>
      <c r="AW5" s="349"/>
      <c r="AX5" s="349"/>
    </row>
    <row r="6" spans="1:52" x14ac:dyDescent="0.25">
      <c r="A6" s="307"/>
      <c r="B6" s="307"/>
      <c r="C6" s="307"/>
      <c r="D6" s="274"/>
      <c r="E6" s="274"/>
      <c r="F6" s="274"/>
      <c r="G6" s="274"/>
      <c r="H6" s="274"/>
      <c r="I6" s="274"/>
      <c r="J6" s="274"/>
      <c r="K6" s="274"/>
      <c r="L6" s="274"/>
      <c r="M6" s="199" t="e">
        <f>VLOOKUP($D6, DATA!$F$87:$V$126, 7, FALSE)</f>
        <v>#N/A</v>
      </c>
      <c r="N6" s="199" t="e">
        <f>VLOOKUP($D6, DATA!$F$87:$V$126, 8, FALSE)</f>
        <v>#N/A</v>
      </c>
      <c r="O6" s="199" t="e">
        <f>VLOOKUP($D6, DATA!$F$87:$V$126, 9, FALSE)</f>
        <v>#N/A</v>
      </c>
      <c r="P6" s="199" t="e">
        <f>VLOOKUP($D6, DATA!$F$87:$V$126, 10, FALSE)</f>
        <v>#N/A</v>
      </c>
      <c r="Q6" s="199" t="e">
        <f>VLOOKUP($D6, DATA!$F$87:$V$126, 11, FALSE)</f>
        <v>#N/A</v>
      </c>
      <c r="R6" s="199" t="e">
        <f>VLOOKUP($D6, DATA!$F$87:$V$126, 12, FALSE)</f>
        <v>#N/A</v>
      </c>
      <c r="S6" s="199" t="e">
        <f>VLOOKUP($D6, DATA!$F$87:$V$126, 13, FALSE)</f>
        <v>#N/A</v>
      </c>
      <c r="T6" s="199" t="e">
        <f>VLOOKUP($D6, DATA!$F$87:$V$126, 14, FALSE)</f>
        <v>#N/A</v>
      </c>
      <c r="U6" s="231">
        <f>IF(ISBLANK(D6), 0, VLOOKUP($D6, DATA!$F$87:$V$126, 15, FALSE))</f>
        <v>0</v>
      </c>
      <c r="V6" s="231"/>
      <c r="W6" s="231"/>
      <c r="X6" s="231"/>
      <c r="Y6" s="231"/>
      <c r="Z6" s="193"/>
      <c r="AA6" s="194"/>
      <c r="AB6" s="194"/>
      <c r="AC6" s="194"/>
      <c r="AD6" s="194"/>
      <c r="AE6" s="194"/>
      <c r="AF6" s="194"/>
      <c r="AG6" s="231">
        <f t="shared" si="0"/>
        <v>0</v>
      </c>
      <c r="AH6" s="231"/>
      <c r="AI6" s="231"/>
      <c r="AJ6" s="231"/>
      <c r="AK6" s="231"/>
      <c r="AM6" s="226" t="s">
        <v>333</v>
      </c>
      <c r="AN6" s="226"/>
      <c r="AO6" s="228" t="e">
        <f>VLOOKUP(AM5, DATA!$X$70:$AJ$80, 8, FALSE)</f>
        <v>#N/A</v>
      </c>
      <c r="AP6" s="228"/>
      <c r="AQ6" s="226" t="s">
        <v>585</v>
      </c>
      <c r="AR6" s="226"/>
      <c r="AS6" s="228" t="e">
        <f>VLOOKUP(AM5, DATA!$X$70:$AJ$80, 9, FALSE)</f>
        <v>#N/A</v>
      </c>
      <c r="AT6" s="228"/>
      <c r="AU6" s="226" t="s">
        <v>586</v>
      </c>
      <c r="AV6" s="226"/>
      <c r="AW6" s="228" t="e">
        <f>VLOOKUP(AM5, DATA!$X$70:$AJ$80, 10, FALSE)</f>
        <v>#N/A</v>
      </c>
      <c r="AX6" s="228"/>
      <c r="AY6" s="126">
        <f>SUM(AY7:AZ11)</f>
        <v>0</v>
      </c>
      <c r="AZ6" s="126"/>
    </row>
    <row r="7" spans="1:52" x14ac:dyDescent="0.25">
      <c r="A7" s="307"/>
      <c r="B7" s="307"/>
      <c r="C7" s="307"/>
      <c r="D7" s="274"/>
      <c r="E7" s="274"/>
      <c r="F7" s="274"/>
      <c r="G7" s="274"/>
      <c r="H7" s="274"/>
      <c r="I7" s="274"/>
      <c r="J7" s="274"/>
      <c r="K7" s="274"/>
      <c r="L7" s="274"/>
      <c r="M7" s="199" t="e">
        <f>VLOOKUP($D7, DATA!$F$87:$V$126, 7, FALSE)</f>
        <v>#N/A</v>
      </c>
      <c r="N7" s="199" t="e">
        <f>VLOOKUP($D7, DATA!$F$87:$V$126, 8, FALSE)</f>
        <v>#N/A</v>
      </c>
      <c r="O7" s="199" t="e">
        <f>VLOOKUP($D7, DATA!$F$87:$V$126, 9, FALSE)</f>
        <v>#N/A</v>
      </c>
      <c r="P7" s="199" t="e">
        <f>VLOOKUP($D7, DATA!$F$87:$V$126, 10, FALSE)</f>
        <v>#N/A</v>
      </c>
      <c r="Q7" s="199" t="e">
        <f>VLOOKUP($D7, DATA!$F$87:$V$126, 11, FALSE)</f>
        <v>#N/A</v>
      </c>
      <c r="R7" s="199" t="e">
        <f>VLOOKUP($D7, DATA!$F$87:$V$126, 12, FALSE)</f>
        <v>#N/A</v>
      </c>
      <c r="S7" s="199" t="e">
        <f>VLOOKUP($D7, DATA!$F$87:$V$126, 13, FALSE)</f>
        <v>#N/A</v>
      </c>
      <c r="T7" s="199" t="e">
        <f>VLOOKUP($D7, DATA!$F$87:$V$126, 14, FALSE)</f>
        <v>#N/A</v>
      </c>
      <c r="U7" s="231">
        <f>IF(ISBLANK(D7), 0, VLOOKUP($D7, DATA!$F$87:$V$126, 15, FALSE))</f>
        <v>0</v>
      </c>
      <c r="V7" s="231"/>
      <c r="W7" s="231"/>
      <c r="X7" s="231"/>
      <c r="Y7" s="231"/>
      <c r="Z7" s="193"/>
      <c r="AA7" s="194"/>
      <c r="AB7" s="194"/>
      <c r="AC7" s="194"/>
      <c r="AD7" s="194"/>
      <c r="AE7" s="194"/>
      <c r="AF7" s="194"/>
      <c r="AG7" s="231">
        <f t="shared" si="0"/>
        <v>0</v>
      </c>
      <c r="AH7" s="231"/>
      <c r="AI7" s="231"/>
      <c r="AJ7" s="231"/>
      <c r="AK7" s="231"/>
      <c r="AM7" s="229" t="s">
        <v>464</v>
      </c>
      <c r="AN7" s="229"/>
      <c r="AO7" s="229"/>
      <c r="AP7" s="229"/>
      <c r="AQ7" s="229"/>
      <c r="AR7" s="200"/>
      <c r="AS7" s="229" t="s">
        <v>449</v>
      </c>
      <c r="AT7" s="229"/>
      <c r="AU7" s="229"/>
      <c r="AV7" s="229"/>
      <c r="AW7" s="229"/>
      <c r="AX7" s="200"/>
      <c r="AY7" s="125">
        <f>IF(ISBLANK(AR7), 0, 80)</f>
        <v>0</v>
      </c>
      <c r="AZ7" s="125">
        <f>IF(ISBLANK(AX7), 0, 250)</f>
        <v>0</v>
      </c>
    </row>
    <row r="8" spans="1:52" x14ac:dyDescent="0.25">
      <c r="A8" s="307"/>
      <c r="B8" s="307"/>
      <c r="C8" s="307"/>
      <c r="D8" s="274"/>
      <c r="E8" s="274"/>
      <c r="F8" s="274"/>
      <c r="G8" s="274"/>
      <c r="H8" s="274"/>
      <c r="I8" s="274"/>
      <c r="J8" s="274"/>
      <c r="K8" s="274"/>
      <c r="L8" s="274"/>
      <c r="M8" s="199" t="e">
        <f>VLOOKUP($D8, DATA!$F$87:$V$126, 7, FALSE)</f>
        <v>#N/A</v>
      </c>
      <c r="N8" s="199" t="e">
        <f>VLOOKUP($D8, DATA!$F$87:$V$126, 8, FALSE)</f>
        <v>#N/A</v>
      </c>
      <c r="O8" s="199" t="e">
        <f>VLOOKUP($D8, DATA!$F$87:$V$126, 9, FALSE)</f>
        <v>#N/A</v>
      </c>
      <c r="P8" s="199" t="e">
        <f>VLOOKUP($D8, DATA!$F$87:$V$126, 10, FALSE)</f>
        <v>#N/A</v>
      </c>
      <c r="Q8" s="199" t="e">
        <f>VLOOKUP($D8, DATA!$F$87:$V$126, 11, FALSE)</f>
        <v>#N/A</v>
      </c>
      <c r="R8" s="199" t="e">
        <f>VLOOKUP($D8, DATA!$F$87:$V$126, 12, FALSE)</f>
        <v>#N/A</v>
      </c>
      <c r="S8" s="199" t="e">
        <f>VLOOKUP($D8, DATA!$F$87:$V$126, 13, FALSE)</f>
        <v>#N/A</v>
      </c>
      <c r="T8" s="199" t="e">
        <f>VLOOKUP($D8, DATA!$F$87:$V$126, 14, FALSE)</f>
        <v>#N/A</v>
      </c>
      <c r="U8" s="231">
        <f>IF(ISBLANK(D8), 0, VLOOKUP($D8, DATA!$F$87:$V$126, 15, FALSE))</f>
        <v>0</v>
      </c>
      <c r="V8" s="231"/>
      <c r="W8" s="231"/>
      <c r="X8" s="231"/>
      <c r="Y8" s="231"/>
      <c r="Z8" s="193"/>
      <c r="AA8" s="194"/>
      <c r="AB8" s="194"/>
      <c r="AC8" s="194"/>
      <c r="AD8" s="194"/>
      <c r="AE8" s="194"/>
      <c r="AF8" s="194"/>
      <c r="AG8" s="231">
        <f t="shared" si="0"/>
        <v>0</v>
      </c>
      <c r="AH8" s="231"/>
      <c r="AI8" s="231"/>
      <c r="AJ8" s="231"/>
      <c r="AK8" s="231"/>
      <c r="AM8" s="229" t="s">
        <v>456</v>
      </c>
      <c r="AN8" s="229"/>
      <c r="AO8" s="229"/>
      <c r="AP8" s="229"/>
      <c r="AQ8" s="229"/>
      <c r="AR8" s="200"/>
      <c r="AS8" s="229" t="s">
        <v>444</v>
      </c>
      <c r="AT8" s="229"/>
      <c r="AU8" s="229"/>
      <c r="AV8" s="229"/>
      <c r="AW8" s="229"/>
      <c r="AX8" s="200"/>
      <c r="AY8" s="125">
        <f t="shared" ref="AY8:AY10" si="1">IF(ISBLANK(AR8), 0, 80)</f>
        <v>0</v>
      </c>
      <c r="AZ8" s="125">
        <f t="shared" ref="AZ8:AZ10" si="2">AX8*250</f>
        <v>0</v>
      </c>
    </row>
    <row r="9" spans="1:52" x14ac:dyDescent="0.25">
      <c r="A9" s="307"/>
      <c r="B9" s="307"/>
      <c r="C9" s="307"/>
      <c r="D9" s="274"/>
      <c r="E9" s="274"/>
      <c r="F9" s="274"/>
      <c r="G9" s="274"/>
      <c r="H9" s="274"/>
      <c r="I9" s="274"/>
      <c r="J9" s="274"/>
      <c r="K9" s="274"/>
      <c r="L9" s="274"/>
      <c r="M9" s="199" t="e">
        <f>VLOOKUP($D9, DATA!$F$87:$V$126, 7, FALSE)</f>
        <v>#N/A</v>
      </c>
      <c r="N9" s="199" t="e">
        <f>VLOOKUP($D9, DATA!$F$87:$V$126, 8, FALSE)</f>
        <v>#N/A</v>
      </c>
      <c r="O9" s="199" t="e">
        <f>VLOOKUP($D9, DATA!$F$87:$V$126, 9, FALSE)</f>
        <v>#N/A</v>
      </c>
      <c r="P9" s="199" t="e">
        <f>VLOOKUP($D9, DATA!$F$87:$V$126, 10, FALSE)</f>
        <v>#N/A</v>
      </c>
      <c r="Q9" s="199" t="e">
        <f>VLOOKUP($D9, DATA!$F$87:$V$126, 11, FALSE)</f>
        <v>#N/A</v>
      </c>
      <c r="R9" s="199" t="e">
        <f>VLOOKUP($D9, DATA!$F$87:$V$126, 12, FALSE)</f>
        <v>#N/A</v>
      </c>
      <c r="S9" s="199" t="e">
        <f>VLOOKUP($D9, DATA!$F$87:$V$126, 13, FALSE)</f>
        <v>#N/A</v>
      </c>
      <c r="T9" s="199" t="e">
        <f>VLOOKUP($D9, DATA!$F$87:$V$126, 14, FALSE)</f>
        <v>#N/A</v>
      </c>
      <c r="U9" s="231">
        <f>IF(ISBLANK(D9), 0, VLOOKUP($D9, DATA!$F$87:$V$126, 15, FALSE))</f>
        <v>0</v>
      </c>
      <c r="V9" s="231"/>
      <c r="W9" s="231"/>
      <c r="X9" s="231"/>
      <c r="Y9" s="231"/>
      <c r="Z9" s="193"/>
      <c r="AA9" s="194"/>
      <c r="AB9" s="194"/>
      <c r="AC9" s="194"/>
      <c r="AD9" s="194"/>
      <c r="AE9" s="194"/>
      <c r="AF9" s="194"/>
      <c r="AG9" s="231">
        <f t="shared" si="0"/>
        <v>0</v>
      </c>
      <c r="AH9" s="231"/>
      <c r="AI9" s="231"/>
      <c r="AJ9" s="231"/>
      <c r="AK9" s="231"/>
      <c r="AM9" s="229" t="s">
        <v>461</v>
      </c>
      <c r="AN9" s="229"/>
      <c r="AO9" s="229"/>
      <c r="AP9" s="229"/>
      <c r="AQ9" s="229"/>
      <c r="AR9" s="200"/>
      <c r="AS9" s="229" t="s">
        <v>454</v>
      </c>
      <c r="AT9" s="229"/>
      <c r="AU9" s="229"/>
      <c r="AV9" s="229"/>
      <c r="AW9" s="229"/>
      <c r="AX9" s="200"/>
      <c r="AY9" s="125">
        <f t="shared" si="1"/>
        <v>0</v>
      </c>
      <c r="AZ9" s="125">
        <f t="shared" si="2"/>
        <v>0</v>
      </c>
    </row>
    <row r="10" spans="1:52" x14ac:dyDescent="0.25">
      <c r="A10" s="307"/>
      <c r="B10" s="307"/>
      <c r="C10" s="307"/>
      <c r="D10" s="274"/>
      <c r="E10" s="274"/>
      <c r="F10" s="274"/>
      <c r="G10" s="274"/>
      <c r="H10" s="274"/>
      <c r="I10" s="274"/>
      <c r="J10" s="274"/>
      <c r="K10" s="274"/>
      <c r="L10" s="274"/>
      <c r="M10" s="199" t="e">
        <f>VLOOKUP($D10, DATA!$F$87:$V$126, 7, FALSE)</f>
        <v>#N/A</v>
      </c>
      <c r="N10" s="199" t="e">
        <f>VLOOKUP($D10, DATA!$F$87:$V$126, 8, FALSE)</f>
        <v>#N/A</v>
      </c>
      <c r="O10" s="199" t="e">
        <f>VLOOKUP($D10, DATA!$F$87:$V$126, 9, FALSE)</f>
        <v>#N/A</v>
      </c>
      <c r="P10" s="199" t="e">
        <f>VLOOKUP($D10, DATA!$F$87:$V$126, 10, FALSE)</f>
        <v>#N/A</v>
      </c>
      <c r="Q10" s="199" t="e">
        <f>VLOOKUP($D10, DATA!$F$87:$V$126, 11, FALSE)</f>
        <v>#N/A</v>
      </c>
      <c r="R10" s="199" t="e">
        <f>VLOOKUP($D10, DATA!$F$87:$V$126, 12, FALSE)</f>
        <v>#N/A</v>
      </c>
      <c r="S10" s="199" t="e">
        <f>VLOOKUP($D10, DATA!$F$87:$V$126, 13, FALSE)</f>
        <v>#N/A</v>
      </c>
      <c r="T10" s="199" t="e">
        <f>VLOOKUP($D10, DATA!$F$87:$V$126, 14, FALSE)</f>
        <v>#N/A</v>
      </c>
      <c r="U10" s="231">
        <f>IF(ISBLANK(D10), 0, VLOOKUP($D10, DATA!$F$87:$V$126, 15, FALSE))</f>
        <v>0</v>
      </c>
      <c r="V10" s="231"/>
      <c r="W10" s="231"/>
      <c r="X10" s="231"/>
      <c r="Y10" s="231"/>
      <c r="Z10" s="193"/>
      <c r="AA10" s="194"/>
      <c r="AB10" s="194"/>
      <c r="AC10" s="194"/>
      <c r="AD10" s="194"/>
      <c r="AE10" s="194"/>
      <c r="AF10" s="194"/>
      <c r="AG10" s="231">
        <f t="shared" si="0"/>
        <v>0</v>
      </c>
      <c r="AH10" s="231"/>
      <c r="AI10" s="231"/>
      <c r="AJ10" s="231"/>
      <c r="AK10" s="231"/>
      <c r="AM10" s="229" t="s">
        <v>465</v>
      </c>
      <c r="AN10" s="229"/>
      <c r="AO10" s="229"/>
      <c r="AP10" s="229"/>
      <c r="AQ10" s="229"/>
      <c r="AR10" s="200"/>
      <c r="AS10" s="229" t="s">
        <v>458</v>
      </c>
      <c r="AT10" s="229"/>
      <c r="AU10" s="229"/>
      <c r="AV10" s="229"/>
      <c r="AW10" s="229"/>
      <c r="AX10" s="200"/>
      <c r="AY10" s="125">
        <f t="shared" si="1"/>
        <v>0</v>
      </c>
      <c r="AZ10" s="125">
        <f t="shared" si="2"/>
        <v>0</v>
      </c>
    </row>
    <row r="11" spans="1:52" x14ac:dyDescent="0.25">
      <c r="A11" s="307"/>
      <c r="B11" s="307"/>
      <c r="C11" s="307"/>
      <c r="D11" s="274"/>
      <c r="E11" s="274"/>
      <c r="F11" s="274"/>
      <c r="G11" s="274"/>
      <c r="H11" s="274"/>
      <c r="I11" s="274"/>
      <c r="J11" s="274"/>
      <c r="K11" s="274"/>
      <c r="L11" s="274"/>
      <c r="M11" s="199" t="e">
        <f>VLOOKUP($D11, DATA!$F$87:$V$126, 7, FALSE)</f>
        <v>#N/A</v>
      </c>
      <c r="N11" s="199" t="e">
        <f>VLOOKUP($D11, DATA!$F$87:$V$126, 8, FALSE)</f>
        <v>#N/A</v>
      </c>
      <c r="O11" s="199" t="e">
        <f>VLOOKUP($D11, DATA!$F$87:$V$126, 9, FALSE)</f>
        <v>#N/A</v>
      </c>
      <c r="P11" s="199" t="e">
        <f>VLOOKUP($D11, DATA!$F$87:$V$126, 10, FALSE)</f>
        <v>#N/A</v>
      </c>
      <c r="Q11" s="199" t="e">
        <f>VLOOKUP($D11, DATA!$F$87:$V$126, 11, FALSE)</f>
        <v>#N/A</v>
      </c>
      <c r="R11" s="199" t="e">
        <f>VLOOKUP($D11, DATA!$F$87:$V$126, 12, FALSE)</f>
        <v>#N/A</v>
      </c>
      <c r="S11" s="199" t="e">
        <f>VLOOKUP($D11, DATA!$F$87:$V$126, 13, FALSE)</f>
        <v>#N/A</v>
      </c>
      <c r="T11" s="199" t="e">
        <f>VLOOKUP($D11, DATA!$F$87:$V$126, 14, FALSE)</f>
        <v>#N/A</v>
      </c>
      <c r="U11" s="231">
        <f>IF(ISBLANK(D11), 0, VLOOKUP($D11, DATA!$F$87:$V$126, 15, FALSE))</f>
        <v>0</v>
      </c>
      <c r="V11" s="231"/>
      <c r="W11" s="231"/>
      <c r="X11" s="231"/>
      <c r="Y11" s="231"/>
      <c r="Z11" s="193"/>
      <c r="AA11" s="194"/>
      <c r="AB11" s="194"/>
      <c r="AC11" s="194"/>
      <c r="AD11" s="194"/>
      <c r="AE11" s="194"/>
      <c r="AF11" s="194"/>
      <c r="AG11" s="231">
        <f t="shared" si="0"/>
        <v>0</v>
      </c>
      <c r="AH11" s="231"/>
      <c r="AI11" s="231"/>
      <c r="AJ11" s="231"/>
      <c r="AK11" s="231"/>
      <c r="AM11" s="229" t="s">
        <v>440</v>
      </c>
      <c r="AN11" s="229"/>
      <c r="AO11" s="229"/>
      <c r="AP11" s="229"/>
      <c r="AQ11" s="229"/>
      <c r="AR11" s="200"/>
      <c r="AS11" s="229" t="s">
        <v>467</v>
      </c>
      <c r="AT11" s="229"/>
      <c r="AU11" s="229"/>
      <c r="AV11" s="229"/>
      <c r="AW11" s="229"/>
      <c r="AX11" s="200"/>
      <c r="AY11" s="125">
        <f>IF(ISBLANK(AR11), 0, 250)</f>
        <v>0</v>
      </c>
      <c r="AZ11" s="125">
        <f>AX11*250</f>
        <v>0</v>
      </c>
    </row>
    <row r="12" spans="1:52" x14ac:dyDescent="0.25">
      <c r="A12" s="307"/>
      <c r="B12" s="307"/>
      <c r="C12" s="307"/>
      <c r="D12" s="274"/>
      <c r="E12" s="274"/>
      <c r="F12" s="274"/>
      <c r="G12" s="274"/>
      <c r="H12" s="274"/>
      <c r="I12" s="274"/>
      <c r="J12" s="274"/>
      <c r="K12" s="274"/>
      <c r="L12" s="274"/>
      <c r="M12" s="199" t="e">
        <f>VLOOKUP($D12, DATA!$F$87:$V$126, 7, FALSE)</f>
        <v>#N/A</v>
      </c>
      <c r="N12" s="199" t="e">
        <f>VLOOKUP($D12, DATA!$F$87:$V$126, 8, FALSE)</f>
        <v>#N/A</v>
      </c>
      <c r="O12" s="199" t="e">
        <f>VLOOKUP($D12, DATA!$F$87:$V$126, 9, FALSE)</f>
        <v>#N/A</v>
      </c>
      <c r="P12" s="199" t="e">
        <f>VLOOKUP($D12, DATA!$F$87:$V$126, 10, FALSE)</f>
        <v>#N/A</v>
      </c>
      <c r="Q12" s="199" t="e">
        <f>VLOOKUP($D12, DATA!$F$87:$V$126, 11, FALSE)</f>
        <v>#N/A</v>
      </c>
      <c r="R12" s="199" t="e">
        <f>VLOOKUP($D12, DATA!$F$87:$V$126, 12, FALSE)</f>
        <v>#N/A</v>
      </c>
      <c r="S12" s="199" t="e">
        <f>VLOOKUP($D12, DATA!$F$87:$V$126, 13, FALSE)</f>
        <v>#N/A</v>
      </c>
      <c r="T12" s="199" t="e">
        <f>VLOOKUP($D12, DATA!$F$87:$V$126, 14, FALSE)</f>
        <v>#N/A</v>
      </c>
      <c r="U12" s="231">
        <f>IF(ISBLANK(D12), 0, VLOOKUP($D12, DATA!$F$87:$V$126, 15, FALSE))</f>
        <v>0</v>
      </c>
      <c r="V12" s="231"/>
      <c r="W12" s="231"/>
      <c r="X12" s="231"/>
      <c r="Y12" s="231"/>
      <c r="Z12" s="193"/>
      <c r="AA12" s="194"/>
      <c r="AB12" s="194"/>
      <c r="AC12" s="194"/>
      <c r="AD12" s="194"/>
      <c r="AE12" s="194"/>
      <c r="AF12" s="194"/>
      <c r="AG12" s="231">
        <f t="shared" si="0"/>
        <v>0</v>
      </c>
      <c r="AH12" s="231"/>
      <c r="AI12" s="231"/>
      <c r="AJ12" s="231"/>
      <c r="AK12" s="231"/>
      <c r="AM12" s="229" t="s">
        <v>492</v>
      </c>
      <c r="AN12" s="229"/>
      <c r="AO12" s="229"/>
      <c r="AP12" s="229"/>
      <c r="AQ12" s="229"/>
      <c r="AR12" s="229"/>
      <c r="AS12" s="229"/>
      <c r="AT12" s="229"/>
      <c r="AU12" s="229"/>
      <c r="AV12" s="229"/>
      <c r="AW12" s="256" t="s">
        <v>333</v>
      </c>
      <c r="AX12" s="256"/>
      <c r="AY12" s="126"/>
      <c r="AZ12" s="126"/>
    </row>
    <row r="13" spans="1:52" x14ac:dyDescent="0.25">
      <c r="A13" s="307"/>
      <c r="B13" s="307"/>
      <c r="C13" s="307"/>
      <c r="D13" s="274"/>
      <c r="E13" s="274"/>
      <c r="F13" s="274"/>
      <c r="G13" s="274"/>
      <c r="H13" s="274"/>
      <c r="I13" s="274"/>
      <c r="J13" s="274"/>
      <c r="K13" s="274"/>
      <c r="L13" s="274"/>
      <c r="M13" s="199" t="e">
        <f>VLOOKUP($D13, DATA!$F$87:$V$126, 7, FALSE)</f>
        <v>#N/A</v>
      </c>
      <c r="N13" s="199" t="e">
        <f>VLOOKUP($D13, DATA!$F$87:$V$126, 8, FALSE)</f>
        <v>#N/A</v>
      </c>
      <c r="O13" s="199" t="e">
        <f>VLOOKUP($D13, DATA!$F$87:$V$126, 9, FALSE)</f>
        <v>#N/A</v>
      </c>
      <c r="P13" s="199" t="e">
        <f>VLOOKUP($D13, DATA!$F$87:$V$126, 10, FALSE)</f>
        <v>#N/A</v>
      </c>
      <c r="Q13" s="199" t="e">
        <f>VLOOKUP($D13, DATA!$F$87:$V$126, 11, FALSE)</f>
        <v>#N/A</v>
      </c>
      <c r="R13" s="199" t="e">
        <f>VLOOKUP($D13, DATA!$F$87:$V$126, 12, FALSE)</f>
        <v>#N/A</v>
      </c>
      <c r="S13" s="199" t="e">
        <f>VLOOKUP($D13, DATA!$F$87:$V$126, 13, FALSE)</f>
        <v>#N/A</v>
      </c>
      <c r="T13" s="199" t="e">
        <f>VLOOKUP($D13, DATA!$F$87:$V$126, 14, FALSE)</f>
        <v>#N/A</v>
      </c>
      <c r="U13" s="231">
        <f>IF(ISBLANK(D13), 0, VLOOKUP($D13, DATA!$F$87:$V$126, 15, FALSE))</f>
        <v>0</v>
      </c>
      <c r="V13" s="231"/>
      <c r="W13" s="231"/>
      <c r="X13" s="231"/>
      <c r="Y13" s="231"/>
      <c r="Z13" s="193"/>
      <c r="AA13" s="194"/>
      <c r="AB13" s="194"/>
      <c r="AC13" s="194"/>
      <c r="AD13" s="194"/>
      <c r="AE13" s="194"/>
      <c r="AF13" s="194"/>
      <c r="AG13" s="231">
        <f t="shared" si="0"/>
        <v>0</v>
      </c>
      <c r="AH13" s="231"/>
      <c r="AI13" s="231"/>
      <c r="AJ13" s="231"/>
      <c r="AK13" s="231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27"/>
      <c r="AX13" s="227"/>
      <c r="AY13" s="125">
        <f>AW13*500</f>
        <v>0</v>
      </c>
      <c r="AZ13" s="126"/>
    </row>
    <row r="14" spans="1:52" x14ac:dyDescent="0.25">
      <c r="A14" s="307"/>
      <c r="B14" s="307"/>
      <c r="C14" s="307"/>
      <c r="D14" s="274"/>
      <c r="E14" s="274"/>
      <c r="F14" s="274"/>
      <c r="G14" s="274"/>
      <c r="H14" s="274"/>
      <c r="I14" s="274"/>
      <c r="J14" s="274"/>
      <c r="K14" s="274"/>
      <c r="L14" s="274"/>
      <c r="M14" s="199" t="e">
        <f>VLOOKUP($D14, DATA!$F$87:$V$126, 7, FALSE)</f>
        <v>#N/A</v>
      </c>
      <c r="N14" s="199" t="e">
        <f>VLOOKUP($D14, DATA!$F$87:$V$126, 8, FALSE)</f>
        <v>#N/A</v>
      </c>
      <c r="O14" s="199" t="e">
        <f>VLOOKUP($D14, DATA!$F$87:$V$126, 9, FALSE)</f>
        <v>#N/A</v>
      </c>
      <c r="P14" s="199" t="e">
        <f>VLOOKUP($D14, DATA!$F$87:$V$126, 10, FALSE)</f>
        <v>#N/A</v>
      </c>
      <c r="Q14" s="199" t="e">
        <f>VLOOKUP($D14, DATA!$F$87:$V$126, 11, FALSE)</f>
        <v>#N/A</v>
      </c>
      <c r="R14" s="199" t="e">
        <f>VLOOKUP($D14, DATA!$F$87:$V$126, 12, FALSE)</f>
        <v>#N/A</v>
      </c>
      <c r="S14" s="199" t="e">
        <f>VLOOKUP($D14, DATA!$F$87:$V$126, 13, FALSE)</f>
        <v>#N/A</v>
      </c>
      <c r="T14" s="199" t="e">
        <f>VLOOKUP($D14, DATA!$F$87:$V$126, 14, FALSE)</f>
        <v>#N/A</v>
      </c>
      <c r="U14" s="231">
        <f>IF(ISBLANK(D14), 0, VLOOKUP($D14, DATA!$F$87:$V$126, 15, FALSE))</f>
        <v>0</v>
      </c>
      <c r="V14" s="231"/>
      <c r="W14" s="231"/>
      <c r="X14" s="231"/>
      <c r="Y14" s="231"/>
      <c r="Z14" s="193"/>
      <c r="AA14" s="194"/>
      <c r="AB14" s="194"/>
      <c r="AC14" s="194"/>
      <c r="AD14" s="194"/>
      <c r="AE14" s="194"/>
      <c r="AF14" s="194"/>
      <c r="AG14" s="231">
        <f t="shared" si="0"/>
        <v>0</v>
      </c>
      <c r="AH14" s="231"/>
      <c r="AI14" s="231"/>
      <c r="AJ14" s="231"/>
      <c r="AK14" s="231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27"/>
      <c r="AX14" s="227"/>
      <c r="AY14" s="125">
        <f t="shared" ref="AY14:AY24" si="3">AW14*500</f>
        <v>0</v>
      </c>
      <c r="AZ14" s="126"/>
    </row>
    <row r="15" spans="1:52" x14ac:dyDescent="0.25">
      <c r="A15" s="307"/>
      <c r="B15" s="307"/>
      <c r="C15" s="307"/>
      <c r="D15" s="274"/>
      <c r="E15" s="274"/>
      <c r="F15" s="274"/>
      <c r="G15" s="274"/>
      <c r="H15" s="274"/>
      <c r="I15" s="274"/>
      <c r="J15" s="274"/>
      <c r="K15" s="274"/>
      <c r="L15" s="274"/>
      <c r="M15" s="199" t="e">
        <f>VLOOKUP($D15, DATA!$F$87:$V$126, 7, FALSE)</f>
        <v>#N/A</v>
      </c>
      <c r="N15" s="199" t="e">
        <f>VLOOKUP($D15, DATA!$F$87:$V$126, 8, FALSE)</f>
        <v>#N/A</v>
      </c>
      <c r="O15" s="199" t="e">
        <f>VLOOKUP($D15, DATA!$F$87:$V$126, 9, FALSE)</f>
        <v>#N/A</v>
      </c>
      <c r="P15" s="199" t="e">
        <f>VLOOKUP($D15, DATA!$F$87:$V$126, 10, FALSE)</f>
        <v>#N/A</v>
      </c>
      <c r="Q15" s="199" t="e">
        <f>VLOOKUP($D15, DATA!$F$87:$V$126, 11, FALSE)</f>
        <v>#N/A</v>
      </c>
      <c r="R15" s="199" t="e">
        <f>VLOOKUP($D15, DATA!$F$87:$V$126, 12, FALSE)</f>
        <v>#N/A</v>
      </c>
      <c r="S15" s="199" t="e">
        <f>VLOOKUP($D15, DATA!$F$87:$V$126, 13, FALSE)</f>
        <v>#N/A</v>
      </c>
      <c r="T15" s="199" t="e">
        <f>VLOOKUP($D15, DATA!$F$87:$V$126, 14, FALSE)</f>
        <v>#N/A</v>
      </c>
      <c r="U15" s="231">
        <f>IF(ISBLANK(D15), 0, VLOOKUP($D15, DATA!$F$87:$V$126, 15, FALSE))</f>
        <v>0</v>
      </c>
      <c r="V15" s="231"/>
      <c r="W15" s="231"/>
      <c r="X15" s="231"/>
      <c r="Y15" s="231"/>
      <c r="Z15" s="193"/>
      <c r="AA15" s="194"/>
      <c r="AB15" s="194"/>
      <c r="AC15" s="194"/>
      <c r="AD15" s="194"/>
      <c r="AE15" s="194"/>
      <c r="AF15" s="194"/>
      <c r="AG15" s="231">
        <f t="shared" si="0"/>
        <v>0</v>
      </c>
      <c r="AH15" s="231"/>
      <c r="AI15" s="231"/>
      <c r="AJ15" s="231"/>
      <c r="AK15" s="231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27"/>
      <c r="AX15" s="227"/>
      <c r="AY15" s="125">
        <f t="shared" si="3"/>
        <v>0</v>
      </c>
      <c r="AZ15" s="126"/>
    </row>
    <row r="16" spans="1:52" x14ac:dyDescent="0.25">
      <c r="A16" s="307"/>
      <c r="B16" s="307"/>
      <c r="C16" s="307"/>
      <c r="D16" s="274"/>
      <c r="E16" s="274"/>
      <c r="F16" s="274"/>
      <c r="G16" s="274"/>
      <c r="H16" s="274"/>
      <c r="I16" s="274"/>
      <c r="J16" s="274"/>
      <c r="K16" s="274"/>
      <c r="L16" s="274"/>
      <c r="M16" s="199" t="e">
        <f>VLOOKUP($D16, DATA!$F$87:$V$126, 7, FALSE)</f>
        <v>#N/A</v>
      </c>
      <c r="N16" s="199" t="e">
        <f>VLOOKUP($D16, DATA!$F$87:$V$126, 8, FALSE)</f>
        <v>#N/A</v>
      </c>
      <c r="O16" s="199" t="e">
        <f>VLOOKUP($D16, DATA!$F$87:$V$126, 9, FALSE)</f>
        <v>#N/A</v>
      </c>
      <c r="P16" s="199" t="e">
        <f>VLOOKUP($D16, DATA!$F$87:$V$126, 10, FALSE)</f>
        <v>#N/A</v>
      </c>
      <c r="Q16" s="199" t="e">
        <f>VLOOKUP($D16, DATA!$F$87:$V$126, 11, FALSE)</f>
        <v>#N/A</v>
      </c>
      <c r="R16" s="199" t="e">
        <f>VLOOKUP($D16, DATA!$F$87:$V$126, 12, FALSE)</f>
        <v>#N/A</v>
      </c>
      <c r="S16" s="199" t="e">
        <f>VLOOKUP($D16, DATA!$F$87:$V$126, 13, FALSE)</f>
        <v>#N/A</v>
      </c>
      <c r="T16" s="199" t="e">
        <f>VLOOKUP($D16, DATA!$F$87:$V$126, 14, FALSE)</f>
        <v>#N/A</v>
      </c>
      <c r="U16" s="231">
        <f>IF(ISBLANK(D16), 0, VLOOKUP($D16, DATA!$F$87:$V$126, 15, FALSE))</f>
        <v>0</v>
      </c>
      <c r="V16" s="231"/>
      <c r="W16" s="231"/>
      <c r="X16" s="231"/>
      <c r="Y16" s="231"/>
      <c r="Z16" s="193"/>
      <c r="AA16" s="194"/>
      <c r="AB16" s="194"/>
      <c r="AC16" s="194"/>
      <c r="AD16" s="194"/>
      <c r="AE16" s="194"/>
      <c r="AF16" s="194"/>
      <c r="AG16" s="231">
        <f t="shared" si="0"/>
        <v>0</v>
      </c>
      <c r="AH16" s="231"/>
      <c r="AI16" s="231"/>
      <c r="AJ16" s="231"/>
      <c r="AK16" s="231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27"/>
      <c r="AX16" s="227"/>
      <c r="AY16" s="125">
        <f t="shared" si="3"/>
        <v>0</v>
      </c>
      <c r="AZ16" s="126"/>
    </row>
    <row r="17" spans="1:52" x14ac:dyDescent="0.25">
      <c r="A17" s="307"/>
      <c r="B17" s="307"/>
      <c r="C17" s="307"/>
      <c r="D17" s="274"/>
      <c r="E17" s="274"/>
      <c r="F17" s="274"/>
      <c r="G17" s="274"/>
      <c r="H17" s="274"/>
      <c r="I17" s="274"/>
      <c r="J17" s="274"/>
      <c r="K17" s="274"/>
      <c r="L17" s="274"/>
      <c r="M17" s="199" t="e">
        <f>VLOOKUP($D17, DATA!$F$87:$V$126, 7, FALSE)</f>
        <v>#N/A</v>
      </c>
      <c r="N17" s="199" t="e">
        <f>VLOOKUP($D17, DATA!$F$87:$V$126, 8, FALSE)</f>
        <v>#N/A</v>
      </c>
      <c r="O17" s="199" t="e">
        <f>VLOOKUP($D17, DATA!$F$87:$V$126, 9, FALSE)</f>
        <v>#N/A</v>
      </c>
      <c r="P17" s="199" t="e">
        <f>VLOOKUP($D17, DATA!$F$87:$V$126, 10, FALSE)</f>
        <v>#N/A</v>
      </c>
      <c r="Q17" s="199" t="e">
        <f>VLOOKUP($D17, DATA!$F$87:$V$126, 11, FALSE)</f>
        <v>#N/A</v>
      </c>
      <c r="R17" s="199" t="e">
        <f>VLOOKUP($D17, DATA!$F$87:$V$126, 12, FALSE)</f>
        <v>#N/A</v>
      </c>
      <c r="S17" s="199" t="e">
        <f>VLOOKUP($D17, DATA!$F$87:$V$126, 13, FALSE)</f>
        <v>#N/A</v>
      </c>
      <c r="T17" s="199" t="e">
        <f>VLOOKUP($D17, DATA!$F$87:$V$126, 14, FALSE)</f>
        <v>#N/A</v>
      </c>
      <c r="U17" s="231">
        <f>IF(ISBLANK(D17), 0, VLOOKUP($D17, DATA!$F$87:$V$126, 15, FALSE))</f>
        <v>0</v>
      </c>
      <c r="V17" s="231"/>
      <c r="W17" s="231"/>
      <c r="X17" s="231"/>
      <c r="Y17" s="231"/>
      <c r="Z17" s="193"/>
      <c r="AA17" s="194"/>
      <c r="AB17" s="194"/>
      <c r="AC17" s="194"/>
      <c r="AD17" s="194"/>
      <c r="AE17" s="194"/>
      <c r="AF17" s="194"/>
      <c r="AG17" s="231">
        <f t="shared" si="0"/>
        <v>0</v>
      </c>
      <c r="AH17" s="231"/>
      <c r="AI17" s="231"/>
      <c r="AJ17" s="231"/>
      <c r="AK17" s="231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27"/>
      <c r="AX17" s="227"/>
      <c r="AY17" s="125">
        <f t="shared" si="3"/>
        <v>0</v>
      </c>
      <c r="AZ17" s="126"/>
    </row>
    <row r="18" spans="1:52" x14ac:dyDescent="0.25">
      <c r="A18" s="307"/>
      <c r="B18" s="307"/>
      <c r="C18" s="307"/>
      <c r="D18" s="274"/>
      <c r="E18" s="274"/>
      <c r="F18" s="274"/>
      <c r="G18" s="274"/>
      <c r="H18" s="274"/>
      <c r="I18" s="274"/>
      <c r="J18" s="274"/>
      <c r="K18" s="274"/>
      <c r="L18" s="274"/>
      <c r="M18" s="199" t="e">
        <f>VLOOKUP($D18, DATA!$F$87:$V$126, 7, FALSE)</f>
        <v>#N/A</v>
      </c>
      <c r="N18" s="199" t="e">
        <f>VLOOKUP($D18, DATA!$F$87:$V$126, 8, FALSE)</f>
        <v>#N/A</v>
      </c>
      <c r="O18" s="199" t="e">
        <f>VLOOKUP($D18, DATA!$F$87:$V$126, 9, FALSE)</f>
        <v>#N/A</v>
      </c>
      <c r="P18" s="199" t="e">
        <f>VLOOKUP($D18, DATA!$F$87:$V$126, 10, FALSE)</f>
        <v>#N/A</v>
      </c>
      <c r="Q18" s="199" t="e">
        <f>VLOOKUP($D18, DATA!$F$87:$V$126, 11, FALSE)</f>
        <v>#N/A</v>
      </c>
      <c r="R18" s="199" t="e">
        <f>VLOOKUP($D18, DATA!$F$87:$V$126, 12, FALSE)</f>
        <v>#N/A</v>
      </c>
      <c r="S18" s="199" t="e">
        <f>VLOOKUP($D18, DATA!$F$87:$V$126, 13, FALSE)</f>
        <v>#N/A</v>
      </c>
      <c r="T18" s="199" t="e">
        <f>VLOOKUP($D18, DATA!$F$87:$V$126, 14, FALSE)</f>
        <v>#N/A</v>
      </c>
      <c r="U18" s="231">
        <f>IF(ISBLANK(D18), 0, VLOOKUP($D18, DATA!$F$87:$V$126, 15, FALSE))</f>
        <v>0</v>
      </c>
      <c r="V18" s="231"/>
      <c r="W18" s="231"/>
      <c r="X18" s="231"/>
      <c r="Y18" s="231"/>
      <c r="Z18" s="193"/>
      <c r="AA18" s="194"/>
      <c r="AB18" s="194"/>
      <c r="AC18" s="194"/>
      <c r="AD18" s="194"/>
      <c r="AE18" s="194"/>
      <c r="AF18" s="194"/>
      <c r="AG18" s="231">
        <f t="shared" si="0"/>
        <v>0</v>
      </c>
      <c r="AH18" s="231"/>
      <c r="AI18" s="231"/>
      <c r="AJ18" s="231"/>
      <c r="AK18" s="231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27"/>
      <c r="AX18" s="227"/>
      <c r="AY18" s="125">
        <f t="shared" si="3"/>
        <v>0</v>
      </c>
      <c r="AZ18" s="126"/>
    </row>
    <row r="19" spans="1:52" x14ac:dyDescent="0.25">
      <c r="A19" s="307"/>
      <c r="B19" s="307"/>
      <c r="C19" s="307"/>
      <c r="D19" s="274"/>
      <c r="E19" s="274"/>
      <c r="F19" s="274"/>
      <c r="G19" s="274"/>
      <c r="H19" s="274"/>
      <c r="I19" s="274"/>
      <c r="J19" s="274"/>
      <c r="K19" s="274"/>
      <c r="L19" s="274"/>
      <c r="M19" s="199" t="e">
        <f>VLOOKUP($D19, DATA!$F$87:$V$126, 7, FALSE)</f>
        <v>#N/A</v>
      </c>
      <c r="N19" s="199" t="e">
        <f>VLOOKUP($D19, DATA!$F$87:$V$126, 8, FALSE)</f>
        <v>#N/A</v>
      </c>
      <c r="O19" s="199" t="e">
        <f>VLOOKUP($D19, DATA!$F$87:$V$126, 9, FALSE)</f>
        <v>#N/A</v>
      </c>
      <c r="P19" s="199" t="e">
        <f>VLOOKUP($D19, DATA!$F$87:$V$126, 10, FALSE)</f>
        <v>#N/A</v>
      </c>
      <c r="Q19" s="199" t="e">
        <f>VLOOKUP($D19, DATA!$F$87:$V$126, 11, FALSE)</f>
        <v>#N/A</v>
      </c>
      <c r="R19" s="199" t="e">
        <f>VLOOKUP($D19, DATA!$F$87:$V$126, 12, FALSE)</f>
        <v>#N/A</v>
      </c>
      <c r="S19" s="199" t="e">
        <f>VLOOKUP($D19, DATA!$F$87:$V$126, 13, FALSE)</f>
        <v>#N/A</v>
      </c>
      <c r="T19" s="199" t="e">
        <f>VLOOKUP($D19, DATA!$F$87:$V$126, 14, FALSE)</f>
        <v>#N/A</v>
      </c>
      <c r="U19" s="231">
        <f>IF(ISBLANK(D19), 0, VLOOKUP($D19, DATA!$F$87:$V$126, 15, FALSE))</f>
        <v>0</v>
      </c>
      <c r="V19" s="231"/>
      <c r="W19" s="231"/>
      <c r="X19" s="231"/>
      <c r="Y19" s="231"/>
      <c r="Z19" s="193"/>
      <c r="AA19" s="194"/>
      <c r="AB19" s="194"/>
      <c r="AC19" s="194"/>
      <c r="AD19" s="194"/>
      <c r="AE19" s="194"/>
      <c r="AF19" s="194"/>
      <c r="AG19" s="231">
        <f t="shared" si="0"/>
        <v>0</v>
      </c>
      <c r="AH19" s="231"/>
      <c r="AI19" s="231"/>
      <c r="AJ19" s="231"/>
      <c r="AK19" s="231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27"/>
      <c r="AX19" s="227"/>
      <c r="AY19" s="125">
        <f t="shared" si="3"/>
        <v>0</v>
      </c>
      <c r="AZ19" s="126"/>
    </row>
    <row r="20" spans="1:52" x14ac:dyDescent="0.25">
      <c r="A20" s="307"/>
      <c r="B20" s="307"/>
      <c r="C20" s="307"/>
      <c r="D20" s="274"/>
      <c r="E20" s="274"/>
      <c r="F20" s="274"/>
      <c r="G20" s="274"/>
      <c r="H20" s="274"/>
      <c r="I20" s="274"/>
      <c r="J20" s="274"/>
      <c r="K20" s="274"/>
      <c r="L20" s="274"/>
      <c r="M20" s="199" t="e">
        <f>VLOOKUP($D20, DATA!$F$87:$V$126, 7, FALSE)</f>
        <v>#N/A</v>
      </c>
      <c r="N20" s="199" t="e">
        <f>VLOOKUP($D20, DATA!$F$87:$V$126, 8, FALSE)</f>
        <v>#N/A</v>
      </c>
      <c r="O20" s="199" t="e">
        <f>VLOOKUP($D20, DATA!$F$87:$V$126, 9, FALSE)</f>
        <v>#N/A</v>
      </c>
      <c r="P20" s="199" t="e">
        <f>VLOOKUP($D20, DATA!$F$87:$V$126, 10, FALSE)</f>
        <v>#N/A</v>
      </c>
      <c r="Q20" s="199" t="e">
        <f>VLOOKUP($D20, DATA!$F$87:$V$126, 11, FALSE)</f>
        <v>#N/A</v>
      </c>
      <c r="R20" s="199" t="e">
        <f>VLOOKUP($D20, DATA!$F$87:$V$126, 12, FALSE)</f>
        <v>#N/A</v>
      </c>
      <c r="S20" s="199" t="e">
        <f>VLOOKUP($D20, DATA!$F$87:$V$126, 13, FALSE)</f>
        <v>#N/A</v>
      </c>
      <c r="T20" s="199" t="e">
        <f>VLOOKUP($D20, DATA!$F$87:$V$126, 14, FALSE)</f>
        <v>#N/A</v>
      </c>
      <c r="U20" s="231">
        <f>IF(ISBLANK(D20), 0, VLOOKUP($D20, DATA!$F$87:$V$126, 15, FALSE))</f>
        <v>0</v>
      </c>
      <c r="V20" s="231"/>
      <c r="W20" s="231"/>
      <c r="X20" s="231"/>
      <c r="Y20" s="231"/>
      <c r="Z20" s="193"/>
      <c r="AA20" s="194"/>
      <c r="AB20" s="194"/>
      <c r="AC20" s="194"/>
      <c r="AD20" s="194"/>
      <c r="AE20" s="194"/>
      <c r="AF20" s="194"/>
      <c r="AG20" s="231">
        <f t="shared" si="0"/>
        <v>0</v>
      </c>
      <c r="AH20" s="231"/>
      <c r="AI20" s="231"/>
      <c r="AJ20" s="231"/>
      <c r="AK20" s="231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27"/>
      <c r="AX20" s="227"/>
      <c r="AY20" s="125">
        <f t="shared" si="3"/>
        <v>0</v>
      </c>
      <c r="AZ20" s="126"/>
    </row>
    <row r="21" spans="1:52" x14ac:dyDescent="0.25">
      <c r="A21" s="307"/>
      <c r="B21" s="307"/>
      <c r="C21" s="307"/>
      <c r="D21" s="274"/>
      <c r="E21" s="274"/>
      <c r="F21" s="274"/>
      <c r="G21" s="274"/>
      <c r="H21" s="274"/>
      <c r="I21" s="274"/>
      <c r="J21" s="274"/>
      <c r="K21" s="274"/>
      <c r="L21" s="274"/>
      <c r="M21" s="199" t="e">
        <f>VLOOKUP($D21, DATA!$F$87:$V$126, 7, FALSE)</f>
        <v>#N/A</v>
      </c>
      <c r="N21" s="199" t="e">
        <f>VLOOKUP($D21, DATA!$F$87:$V$126, 8, FALSE)</f>
        <v>#N/A</v>
      </c>
      <c r="O21" s="199" t="e">
        <f>VLOOKUP($D21, DATA!$F$87:$V$126, 9, FALSE)</f>
        <v>#N/A</v>
      </c>
      <c r="P21" s="199" t="e">
        <f>VLOOKUP($D21, DATA!$F$87:$V$126, 10, FALSE)</f>
        <v>#N/A</v>
      </c>
      <c r="Q21" s="199" t="e">
        <f>VLOOKUP($D21, DATA!$F$87:$V$126, 11, FALSE)</f>
        <v>#N/A</v>
      </c>
      <c r="R21" s="199" t="e">
        <f>VLOOKUP($D21, DATA!$F$87:$V$126, 12, FALSE)</f>
        <v>#N/A</v>
      </c>
      <c r="S21" s="199" t="e">
        <f>VLOOKUP($D21, DATA!$F$87:$V$126, 13, FALSE)</f>
        <v>#N/A</v>
      </c>
      <c r="T21" s="199" t="e">
        <f>VLOOKUP($D21, DATA!$F$87:$V$126, 14, FALSE)</f>
        <v>#N/A</v>
      </c>
      <c r="U21" s="231">
        <f>IF(ISBLANK(D21), 0, VLOOKUP($D21, DATA!$F$87:$V$126, 15, FALSE))</f>
        <v>0</v>
      </c>
      <c r="V21" s="231"/>
      <c r="W21" s="231"/>
      <c r="X21" s="231"/>
      <c r="Y21" s="231"/>
      <c r="Z21" s="193"/>
      <c r="AA21" s="194"/>
      <c r="AB21" s="194"/>
      <c r="AC21" s="194"/>
      <c r="AD21" s="194"/>
      <c r="AE21" s="194"/>
      <c r="AF21" s="194"/>
      <c r="AG21" s="231">
        <f t="shared" si="0"/>
        <v>0</v>
      </c>
      <c r="AH21" s="231"/>
      <c r="AI21" s="231"/>
      <c r="AJ21" s="231"/>
      <c r="AK21" s="231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27"/>
      <c r="AX21" s="227"/>
      <c r="AY21" s="125">
        <f t="shared" si="3"/>
        <v>0</v>
      </c>
      <c r="AZ21" s="126"/>
    </row>
    <row r="22" spans="1:52" x14ac:dyDescent="0.25">
      <c r="A22" s="307"/>
      <c r="B22" s="307"/>
      <c r="C22" s="307"/>
      <c r="D22" s="274"/>
      <c r="E22" s="274"/>
      <c r="F22" s="274"/>
      <c r="G22" s="274"/>
      <c r="H22" s="274"/>
      <c r="I22" s="274"/>
      <c r="J22" s="274"/>
      <c r="K22" s="274"/>
      <c r="L22" s="274"/>
      <c r="M22" s="199" t="e">
        <f>VLOOKUP($D22, DATA!$F$87:$V$126, 7, FALSE)</f>
        <v>#N/A</v>
      </c>
      <c r="N22" s="199" t="e">
        <f>VLOOKUP($D22, DATA!$F$87:$V$126, 8, FALSE)</f>
        <v>#N/A</v>
      </c>
      <c r="O22" s="199" t="e">
        <f>VLOOKUP($D22, DATA!$F$87:$V$126, 9, FALSE)</f>
        <v>#N/A</v>
      </c>
      <c r="P22" s="199" t="e">
        <f>VLOOKUP($D22, DATA!$F$87:$V$126, 10, FALSE)</f>
        <v>#N/A</v>
      </c>
      <c r="Q22" s="199" t="e">
        <f>VLOOKUP($D22, DATA!$F$87:$V$126, 11, FALSE)</f>
        <v>#N/A</v>
      </c>
      <c r="R22" s="199" t="e">
        <f>VLOOKUP($D22, DATA!$F$87:$V$126, 12, FALSE)</f>
        <v>#N/A</v>
      </c>
      <c r="S22" s="199" t="e">
        <f>VLOOKUP($D22, DATA!$F$87:$V$126, 13, FALSE)</f>
        <v>#N/A</v>
      </c>
      <c r="T22" s="199" t="e">
        <f>VLOOKUP($D22, DATA!$F$87:$V$126, 14, FALSE)</f>
        <v>#N/A</v>
      </c>
      <c r="U22" s="231">
        <f>IF(ISBLANK(D22), 0, VLOOKUP($D22, DATA!$F$87:$V$126, 15, FALSE))</f>
        <v>0</v>
      </c>
      <c r="V22" s="231"/>
      <c r="W22" s="231"/>
      <c r="X22" s="231"/>
      <c r="Y22" s="231"/>
      <c r="Z22" s="193"/>
      <c r="AA22" s="194"/>
      <c r="AB22" s="194"/>
      <c r="AC22" s="194"/>
      <c r="AD22" s="194"/>
      <c r="AE22" s="194"/>
      <c r="AF22" s="194"/>
      <c r="AG22" s="231">
        <f t="shared" si="0"/>
        <v>0</v>
      </c>
      <c r="AH22" s="231"/>
      <c r="AI22" s="231"/>
      <c r="AJ22" s="231"/>
      <c r="AK22" s="231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27"/>
      <c r="AX22" s="227"/>
      <c r="AY22" s="125">
        <f t="shared" si="3"/>
        <v>0</v>
      </c>
      <c r="AZ22" s="126"/>
    </row>
    <row r="23" spans="1:52" x14ac:dyDescent="0.25">
      <c r="A23" s="307"/>
      <c r="B23" s="307"/>
      <c r="C23" s="307"/>
      <c r="D23" s="274"/>
      <c r="E23" s="274"/>
      <c r="F23" s="274"/>
      <c r="G23" s="274"/>
      <c r="H23" s="274"/>
      <c r="I23" s="274"/>
      <c r="J23" s="274"/>
      <c r="K23" s="274"/>
      <c r="L23" s="274"/>
      <c r="M23" s="199" t="e">
        <f>VLOOKUP($D23, DATA!$F$87:$V$126, 7, FALSE)</f>
        <v>#N/A</v>
      </c>
      <c r="N23" s="199" t="e">
        <f>VLOOKUP($D23, DATA!$F$87:$V$126, 8, FALSE)</f>
        <v>#N/A</v>
      </c>
      <c r="O23" s="199" t="e">
        <f>VLOOKUP($D23, DATA!$F$87:$V$126, 9, FALSE)</f>
        <v>#N/A</v>
      </c>
      <c r="P23" s="199" t="e">
        <f>VLOOKUP($D23, DATA!$F$87:$V$126, 10, FALSE)</f>
        <v>#N/A</v>
      </c>
      <c r="Q23" s="199" t="e">
        <f>VLOOKUP($D23, DATA!$F$87:$V$126, 11, FALSE)</f>
        <v>#N/A</v>
      </c>
      <c r="R23" s="199" t="e">
        <f>VLOOKUP($D23, DATA!$F$87:$V$126, 12, FALSE)</f>
        <v>#N/A</v>
      </c>
      <c r="S23" s="199" t="e">
        <f>VLOOKUP($D23, DATA!$F$87:$V$126, 13, FALSE)</f>
        <v>#N/A</v>
      </c>
      <c r="T23" s="199" t="e">
        <f>VLOOKUP($D23, DATA!$F$87:$V$126, 14, FALSE)</f>
        <v>#N/A</v>
      </c>
      <c r="U23" s="231">
        <f>IF(ISBLANK(D23), 0, VLOOKUP($D23, DATA!$F$87:$V$126, 15, FALSE))</f>
        <v>0</v>
      </c>
      <c r="V23" s="231"/>
      <c r="W23" s="231"/>
      <c r="X23" s="231"/>
      <c r="Y23" s="231"/>
      <c r="Z23" s="193"/>
      <c r="AA23" s="194"/>
      <c r="AB23" s="194"/>
      <c r="AC23" s="194"/>
      <c r="AD23" s="194"/>
      <c r="AE23" s="194"/>
      <c r="AF23" s="194"/>
      <c r="AG23" s="231">
        <f t="shared" si="0"/>
        <v>0</v>
      </c>
      <c r="AH23" s="231"/>
      <c r="AI23" s="231"/>
      <c r="AJ23" s="231"/>
      <c r="AK23" s="231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27"/>
      <c r="AX23" s="227"/>
      <c r="AY23" s="125">
        <f t="shared" si="3"/>
        <v>0</v>
      </c>
      <c r="AZ23" s="126"/>
    </row>
    <row r="24" spans="1:52" x14ac:dyDescent="0.25">
      <c r="A24" s="307"/>
      <c r="B24" s="307"/>
      <c r="C24" s="307"/>
      <c r="D24" s="274"/>
      <c r="E24" s="274"/>
      <c r="F24" s="274"/>
      <c r="G24" s="274"/>
      <c r="H24" s="274"/>
      <c r="I24" s="274"/>
      <c r="J24" s="274"/>
      <c r="K24" s="274"/>
      <c r="L24" s="274"/>
      <c r="M24" s="199" t="e">
        <f>VLOOKUP($D24, DATA!$F$87:$V$126, 7, FALSE)</f>
        <v>#N/A</v>
      </c>
      <c r="N24" s="199" t="e">
        <f>VLOOKUP($D24, DATA!$F$87:$V$126, 8, FALSE)</f>
        <v>#N/A</v>
      </c>
      <c r="O24" s="199" t="e">
        <f>VLOOKUP($D24, DATA!$F$87:$V$126, 9, FALSE)</f>
        <v>#N/A</v>
      </c>
      <c r="P24" s="199" t="e">
        <f>VLOOKUP($D24, DATA!$F$87:$V$126, 10, FALSE)</f>
        <v>#N/A</v>
      </c>
      <c r="Q24" s="199" t="e">
        <f>VLOOKUP($D24, DATA!$F$87:$V$126, 11, FALSE)</f>
        <v>#N/A</v>
      </c>
      <c r="R24" s="199" t="e">
        <f>VLOOKUP($D24, DATA!$F$87:$V$126, 12, FALSE)</f>
        <v>#N/A</v>
      </c>
      <c r="S24" s="199" t="e">
        <f>VLOOKUP($D24, DATA!$F$87:$V$126, 13, FALSE)</f>
        <v>#N/A</v>
      </c>
      <c r="T24" s="199" t="e">
        <f>VLOOKUP($D24, DATA!$F$87:$V$126, 14, FALSE)</f>
        <v>#N/A</v>
      </c>
      <c r="U24" s="231">
        <f>IF(ISBLANK(D24), 0, VLOOKUP($D24, DATA!$F$87:$V$126, 15, FALSE))</f>
        <v>0</v>
      </c>
      <c r="V24" s="231"/>
      <c r="W24" s="231"/>
      <c r="X24" s="231"/>
      <c r="Y24" s="231"/>
      <c r="Z24" s="193"/>
      <c r="AA24" s="194"/>
      <c r="AB24" s="194"/>
      <c r="AC24" s="194"/>
      <c r="AD24" s="194"/>
      <c r="AE24" s="194"/>
      <c r="AF24" s="194"/>
      <c r="AG24" s="231">
        <f t="shared" si="0"/>
        <v>0</v>
      </c>
      <c r="AH24" s="231"/>
      <c r="AI24" s="231"/>
      <c r="AJ24" s="231"/>
      <c r="AK24" s="231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27"/>
      <c r="AX24" s="227"/>
      <c r="AY24" s="125">
        <f t="shared" si="3"/>
        <v>0</v>
      </c>
      <c r="AZ24" s="126"/>
    </row>
    <row r="25" spans="1:52" x14ac:dyDescent="0.25">
      <c r="A25" s="307"/>
      <c r="B25" s="307"/>
      <c r="C25" s="307"/>
      <c r="D25" s="274"/>
      <c r="E25" s="274"/>
      <c r="F25" s="274"/>
      <c r="G25" s="274"/>
      <c r="H25" s="274"/>
      <c r="I25" s="274"/>
      <c r="J25" s="274"/>
      <c r="K25" s="274"/>
      <c r="L25" s="274"/>
      <c r="M25" s="199" t="e">
        <f>VLOOKUP($D25, DATA!$F$87:$V$126, 7, FALSE)</f>
        <v>#N/A</v>
      </c>
      <c r="N25" s="199" t="e">
        <f>VLOOKUP($D25, DATA!$F$87:$V$126, 8, FALSE)</f>
        <v>#N/A</v>
      </c>
      <c r="O25" s="199" t="e">
        <f>VLOOKUP($D25, DATA!$F$87:$V$126, 9, FALSE)</f>
        <v>#N/A</v>
      </c>
      <c r="P25" s="199" t="e">
        <f>VLOOKUP($D25, DATA!$F$87:$V$126, 10, FALSE)</f>
        <v>#N/A</v>
      </c>
      <c r="Q25" s="199" t="e">
        <f>VLOOKUP($D25, DATA!$F$87:$V$126, 11, FALSE)</f>
        <v>#N/A</v>
      </c>
      <c r="R25" s="199" t="e">
        <f>VLOOKUP($D25, DATA!$F$87:$V$126, 12, FALSE)</f>
        <v>#N/A</v>
      </c>
      <c r="S25" s="199" t="e">
        <f>VLOOKUP($D25, DATA!$F$87:$V$126, 13, FALSE)</f>
        <v>#N/A</v>
      </c>
      <c r="T25" s="199" t="e">
        <f>VLOOKUP($D25, DATA!$F$87:$V$126, 14, FALSE)</f>
        <v>#N/A</v>
      </c>
      <c r="U25" s="231">
        <f>IF(ISBLANK(D25), 0, VLOOKUP($D25, DATA!$F$87:$V$126, 15, FALSE))</f>
        <v>0</v>
      </c>
      <c r="V25" s="231"/>
      <c r="W25" s="231"/>
      <c r="X25" s="231"/>
      <c r="Y25" s="231"/>
      <c r="Z25" s="193"/>
      <c r="AA25" s="194"/>
      <c r="AB25" s="194"/>
      <c r="AC25" s="194"/>
      <c r="AD25" s="194"/>
      <c r="AE25" s="194"/>
      <c r="AF25" s="194"/>
      <c r="AG25" s="231">
        <f t="shared" si="0"/>
        <v>0</v>
      </c>
      <c r="AH25" s="231"/>
      <c r="AI25" s="231"/>
      <c r="AJ25" s="231"/>
      <c r="AK25" s="231"/>
      <c r="AY25" s="125">
        <f>SUM(AY13:AY24)</f>
        <v>0</v>
      </c>
      <c r="AZ25" s="126"/>
    </row>
    <row r="26" spans="1:52" x14ac:dyDescent="0.25">
      <c r="A26" s="307"/>
      <c r="B26" s="307"/>
      <c r="C26" s="307"/>
      <c r="D26" s="274"/>
      <c r="E26" s="274"/>
      <c r="F26" s="274"/>
      <c r="G26" s="274"/>
      <c r="H26" s="274"/>
      <c r="I26" s="274"/>
      <c r="J26" s="274"/>
      <c r="K26" s="274"/>
      <c r="L26" s="274"/>
      <c r="M26" s="199" t="e">
        <f>VLOOKUP($D26, DATA!$F$87:$V$126, 7, FALSE)</f>
        <v>#N/A</v>
      </c>
      <c r="N26" s="199" t="e">
        <f>VLOOKUP($D26, DATA!$F$87:$V$126, 8, FALSE)</f>
        <v>#N/A</v>
      </c>
      <c r="O26" s="199" t="e">
        <f>VLOOKUP($D26, DATA!$F$87:$V$126, 9, FALSE)</f>
        <v>#N/A</v>
      </c>
      <c r="P26" s="199" t="e">
        <f>VLOOKUP($D26, DATA!$F$87:$V$126, 10, FALSE)</f>
        <v>#N/A</v>
      </c>
      <c r="Q26" s="199" t="e">
        <f>VLOOKUP($D26, DATA!$F$87:$V$126, 11, FALSE)</f>
        <v>#N/A</v>
      </c>
      <c r="R26" s="199" t="e">
        <f>VLOOKUP($D26, DATA!$F$87:$V$126, 12, FALSE)</f>
        <v>#N/A</v>
      </c>
      <c r="S26" s="199" t="e">
        <f>VLOOKUP($D26, DATA!$F$87:$V$126, 13, FALSE)</f>
        <v>#N/A</v>
      </c>
      <c r="T26" s="199" t="e">
        <f>VLOOKUP($D26, DATA!$F$87:$V$126, 14, FALSE)</f>
        <v>#N/A</v>
      </c>
      <c r="U26" s="231">
        <f>IF(ISBLANK(D26), 0, VLOOKUP($D26, DATA!$F$87:$V$126, 15, FALSE))</f>
        <v>0</v>
      </c>
      <c r="V26" s="231"/>
      <c r="W26" s="231"/>
      <c r="X26" s="231"/>
      <c r="Y26" s="231"/>
      <c r="Z26" s="193"/>
      <c r="AA26" s="194"/>
      <c r="AB26" s="194"/>
      <c r="AC26" s="194"/>
      <c r="AD26" s="194"/>
      <c r="AE26" s="194"/>
      <c r="AF26" s="194"/>
      <c r="AG26" s="231">
        <f t="shared" si="0"/>
        <v>0</v>
      </c>
      <c r="AH26" s="231"/>
      <c r="AI26" s="231"/>
      <c r="AJ26" s="231"/>
      <c r="AK26" s="231"/>
      <c r="AY26" s="126"/>
      <c r="AZ26" s="126"/>
    </row>
    <row r="27" spans="1:52" x14ac:dyDescent="0.25">
      <c r="A27" s="307"/>
      <c r="B27" s="307"/>
      <c r="C27" s="307"/>
      <c r="D27" s="274"/>
      <c r="E27" s="274"/>
      <c r="F27" s="274"/>
      <c r="G27" s="274"/>
      <c r="H27" s="274"/>
      <c r="I27" s="274"/>
      <c r="J27" s="274"/>
      <c r="K27" s="274"/>
      <c r="L27" s="274"/>
      <c r="M27" s="199" t="e">
        <f>VLOOKUP($D27, DATA!$F$87:$V$126, 7, FALSE)</f>
        <v>#N/A</v>
      </c>
      <c r="N27" s="199" t="e">
        <f>VLOOKUP($D27, DATA!$F$87:$V$126, 8, FALSE)</f>
        <v>#N/A</v>
      </c>
      <c r="O27" s="199" t="e">
        <f>VLOOKUP($D27, DATA!$F$87:$V$126, 9, FALSE)</f>
        <v>#N/A</v>
      </c>
      <c r="P27" s="199" t="e">
        <f>VLOOKUP($D27, DATA!$F$87:$V$126, 10, FALSE)</f>
        <v>#N/A</v>
      </c>
      <c r="Q27" s="199" t="e">
        <f>VLOOKUP($D27, DATA!$F$87:$V$126, 11, FALSE)</f>
        <v>#N/A</v>
      </c>
      <c r="R27" s="199" t="e">
        <f>VLOOKUP($D27, DATA!$F$87:$V$126, 12, FALSE)</f>
        <v>#N/A</v>
      </c>
      <c r="S27" s="199" t="e">
        <f>VLOOKUP($D27, DATA!$F$87:$V$126, 13, FALSE)</f>
        <v>#N/A</v>
      </c>
      <c r="T27" s="199" t="e">
        <f>VLOOKUP($D27, DATA!$F$87:$V$126, 14, FALSE)</f>
        <v>#N/A</v>
      </c>
      <c r="U27" s="231">
        <f>IF(ISBLANK(D27), 0, VLOOKUP($D27, DATA!$F$87:$V$126, 15, FALSE))</f>
        <v>0</v>
      </c>
      <c r="V27" s="231"/>
      <c r="W27" s="231"/>
      <c r="X27" s="231"/>
      <c r="Y27" s="231"/>
      <c r="Z27" s="193"/>
      <c r="AA27" s="194"/>
      <c r="AB27" s="194"/>
      <c r="AC27" s="194"/>
      <c r="AD27" s="194"/>
      <c r="AE27" s="194"/>
      <c r="AF27" s="194"/>
      <c r="AG27" s="231">
        <f t="shared" si="0"/>
        <v>0</v>
      </c>
      <c r="AH27" s="231"/>
      <c r="AI27" s="231"/>
      <c r="AJ27" s="231"/>
      <c r="AK27" s="231"/>
    </row>
    <row r="28" spans="1:52" x14ac:dyDescent="0.25">
      <c r="A28" s="307"/>
      <c r="B28" s="307"/>
      <c r="C28" s="307"/>
      <c r="D28" s="274"/>
      <c r="E28" s="274"/>
      <c r="F28" s="274"/>
      <c r="G28" s="274"/>
      <c r="H28" s="274"/>
      <c r="I28" s="274"/>
      <c r="J28" s="274"/>
      <c r="K28" s="274"/>
      <c r="L28" s="274"/>
      <c r="M28" s="199" t="e">
        <f>VLOOKUP($D28, DATA!$F$87:$V$126, 7, FALSE)</f>
        <v>#N/A</v>
      </c>
      <c r="N28" s="199" t="e">
        <f>VLOOKUP($D28, DATA!$F$87:$V$126, 8, FALSE)</f>
        <v>#N/A</v>
      </c>
      <c r="O28" s="199" t="e">
        <f>VLOOKUP($D28, DATA!$F$87:$V$126, 9, FALSE)</f>
        <v>#N/A</v>
      </c>
      <c r="P28" s="199" t="e">
        <f>VLOOKUP($D28, DATA!$F$87:$V$126, 10, FALSE)</f>
        <v>#N/A</v>
      </c>
      <c r="Q28" s="199" t="e">
        <f>VLOOKUP($D28, DATA!$F$87:$V$126, 11, FALSE)</f>
        <v>#N/A</v>
      </c>
      <c r="R28" s="199" t="e">
        <f>VLOOKUP($D28, DATA!$F$87:$V$126, 12, FALSE)</f>
        <v>#N/A</v>
      </c>
      <c r="S28" s="199" t="e">
        <f>VLOOKUP($D28, DATA!$F$87:$V$126, 13, FALSE)</f>
        <v>#N/A</v>
      </c>
      <c r="T28" s="199" t="e">
        <f>VLOOKUP($D28, DATA!$F$87:$V$126, 14, FALSE)</f>
        <v>#N/A</v>
      </c>
      <c r="U28" s="231">
        <f>IF(ISBLANK(D28), 0, VLOOKUP($D28, DATA!$F$87:$V$126, 15, FALSE))</f>
        <v>0</v>
      </c>
      <c r="V28" s="231"/>
      <c r="W28" s="231"/>
      <c r="X28" s="231"/>
      <c r="Y28" s="231"/>
      <c r="Z28" s="193"/>
      <c r="AA28" s="194"/>
      <c r="AB28" s="194"/>
      <c r="AC28" s="194"/>
      <c r="AD28" s="194"/>
      <c r="AE28" s="194"/>
      <c r="AF28" s="194"/>
      <c r="AG28" s="231">
        <f t="shared" si="0"/>
        <v>0</v>
      </c>
      <c r="AH28" s="231"/>
      <c r="AI28" s="231"/>
      <c r="AJ28" s="231"/>
      <c r="AK28" s="231"/>
    </row>
    <row r="29" spans="1:52" x14ac:dyDescent="0.25">
      <c r="A29" s="307"/>
      <c r="B29" s="307"/>
      <c r="C29" s="307"/>
      <c r="D29" s="274"/>
      <c r="E29" s="274"/>
      <c r="F29" s="274"/>
      <c r="G29" s="274"/>
      <c r="H29" s="274"/>
      <c r="I29" s="274"/>
      <c r="J29" s="274"/>
      <c r="K29" s="274"/>
      <c r="L29" s="274"/>
      <c r="M29" s="199" t="e">
        <f>VLOOKUP($D29, DATA!$F$87:$V$126, 7, FALSE)</f>
        <v>#N/A</v>
      </c>
      <c r="N29" s="199" t="e">
        <f>VLOOKUP($D29, DATA!$F$87:$V$126, 8, FALSE)</f>
        <v>#N/A</v>
      </c>
      <c r="O29" s="199" t="e">
        <f>VLOOKUP($D29, DATA!$F$87:$V$126, 9, FALSE)</f>
        <v>#N/A</v>
      </c>
      <c r="P29" s="199" t="e">
        <f>VLOOKUP($D29, DATA!$F$87:$V$126, 10, FALSE)</f>
        <v>#N/A</v>
      </c>
      <c r="Q29" s="199" t="e">
        <f>VLOOKUP($D29, DATA!$F$87:$V$126, 11, FALSE)</f>
        <v>#N/A</v>
      </c>
      <c r="R29" s="199" t="e">
        <f>VLOOKUP($D29, DATA!$F$87:$V$126, 12, FALSE)</f>
        <v>#N/A</v>
      </c>
      <c r="S29" s="199" t="e">
        <f>VLOOKUP($D29, DATA!$F$87:$V$126, 13, FALSE)</f>
        <v>#N/A</v>
      </c>
      <c r="T29" s="199" t="e">
        <f>VLOOKUP($D29, DATA!$F$87:$V$126, 14, FALSE)</f>
        <v>#N/A</v>
      </c>
      <c r="U29" s="231">
        <f>IF(ISBLANK(D29), 0, VLOOKUP($D29, DATA!$F$87:$V$126, 15, FALSE))</f>
        <v>0</v>
      </c>
      <c r="V29" s="231"/>
      <c r="W29" s="231"/>
      <c r="X29" s="231"/>
      <c r="Y29" s="231"/>
      <c r="Z29" s="193"/>
      <c r="AA29" s="194"/>
      <c r="AB29" s="194"/>
      <c r="AC29" s="194"/>
      <c r="AD29" s="194"/>
      <c r="AE29" s="194"/>
      <c r="AF29" s="194"/>
      <c r="AG29" s="231">
        <f t="shared" si="0"/>
        <v>0</v>
      </c>
      <c r="AH29" s="231"/>
      <c r="AI29" s="231"/>
      <c r="AJ29" s="231"/>
      <c r="AK29" s="231"/>
    </row>
    <row r="30" spans="1:52" x14ac:dyDescent="0.25">
      <c r="A30" s="307"/>
      <c r="B30" s="307"/>
      <c r="C30" s="307"/>
      <c r="D30" s="274"/>
      <c r="E30" s="274"/>
      <c r="F30" s="274"/>
      <c r="G30" s="274"/>
      <c r="H30" s="274"/>
      <c r="I30" s="274"/>
      <c r="J30" s="274"/>
      <c r="K30" s="274"/>
      <c r="L30" s="274"/>
      <c r="M30" s="199" t="e">
        <f>VLOOKUP($D30, DATA!$F$87:$V$126, 7, FALSE)</f>
        <v>#N/A</v>
      </c>
      <c r="N30" s="199" t="e">
        <f>VLOOKUP($D30, DATA!$F$87:$V$126, 8, FALSE)</f>
        <v>#N/A</v>
      </c>
      <c r="O30" s="199" t="e">
        <f>VLOOKUP($D30, DATA!$F$87:$V$126, 9, FALSE)</f>
        <v>#N/A</v>
      </c>
      <c r="P30" s="199" t="e">
        <f>VLOOKUP($D30, DATA!$F$87:$V$126, 10, FALSE)</f>
        <v>#N/A</v>
      </c>
      <c r="Q30" s="199" t="e">
        <f>VLOOKUP($D30, DATA!$F$87:$V$126, 11, FALSE)</f>
        <v>#N/A</v>
      </c>
      <c r="R30" s="199" t="e">
        <f>VLOOKUP($D30, DATA!$F$87:$V$126, 12, FALSE)</f>
        <v>#N/A</v>
      </c>
      <c r="S30" s="199" t="e">
        <f>VLOOKUP($D30, DATA!$F$87:$V$126, 13, FALSE)</f>
        <v>#N/A</v>
      </c>
      <c r="T30" s="199" t="e">
        <f>VLOOKUP($D30, DATA!$F$87:$V$126, 14, FALSE)</f>
        <v>#N/A</v>
      </c>
      <c r="U30" s="231">
        <f>IF(ISBLANK(D30), 0, VLOOKUP($D30, DATA!$F$87:$V$126, 15, FALSE))</f>
        <v>0</v>
      </c>
      <c r="V30" s="231"/>
      <c r="W30" s="231"/>
      <c r="X30" s="231"/>
      <c r="Y30" s="231"/>
      <c r="Z30" s="193"/>
      <c r="AA30" s="194"/>
      <c r="AB30" s="194"/>
      <c r="AC30" s="194"/>
      <c r="AD30" s="194"/>
      <c r="AE30" s="194"/>
      <c r="AF30" s="194"/>
      <c r="AG30" s="231">
        <f t="shared" si="0"/>
        <v>0</v>
      </c>
      <c r="AH30" s="231"/>
      <c r="AI30" s="231"/>
      <c r="AJ30" s="231"/>
      <c r="AK30" s="231"/>
    </row>
    <row r="31" spans="1:52" x14ac:dyDescent="0.25">
      <c r="A31" s="307"/>
      <c r="B31" s="307"/>
      <c r="C31" s="307"/>
      <c r="D31" s="274"/>
      <c r="E31" s="274"/>
      <c r="F31" s="274"/>
      <c r="G31" s="274"/>
      <c r="H31" s="274"/>
      <c r="I31" s="274"/>
      <c r="J31" s="274"/>
      <c r="K31" s="274"/>
      <c r="L31" s="274"/>
      <c r="M31" s="199" t="e">
        <f>VLOOKUP($D31, DATA!$F$87:$V$126, 7, FALSE)</f>
        <v>#N/A</v>
      </c>
      <c r="N31" s="199" t="e">
        <f>VLOOKUP($D31, DATA!$F$87:$V$126, 8, FALSE)</f>
        <v>#N/A</v>
      </c>
      <c r="O31" s="199" t="e">
        <f>VLOOKUP($D31, DATA!$F$87:$V$126, 9, FALSE)</f>
        <v>#N/A</v>
      </c>
      <c r="P31" s="199" t="e">
        <f>VLOOKUP($D31, DATA!$F$87:$V$126, 10, FALSE)</f>
        <v>#N/A</v>
      </c>
      <c r="Q31" s="199" t="e">
        <f>VLOOKUP($D31, DATA!$F$87:$V$126, 11, FALSE)</f>
        <v>#N/A</v>
      </c>
      <c r="R31" s="199" t="e">
        <f>VLOOKUP($D31, DATA!$F$87:$V$126, 12, FALSE)</f>
        <v>#N/A</v>
      </c>
      <c r="S31" s="199" t="e">
        <f>VLOOKUP($D31, DATA!$F$87:$V$126, 13, FALSE)</f>
        <v>#N/A</v>
      </c>
      <c r="T31" s="199" t="e">
        <f>VLOOKUP($D31, DATA!$F$87:$V$126, 14, FALSE)</f>
        <v>#N/A</v>
      </c>
      <c r="U31" s="231">
        <f>IF(ISBLANK(D31), 0, VLOOKUP($D31, DATA!$F$87:$V$126, 15, FALSE))</f>
        <v>0</v>
      </c>
      <c r="V31" s="231"/>
      <c r="W31" s="231"/>
      <c r="X31" s="231"/>
      <c r="Y31" s="231"/>
      <c r="Z31" s="193"/>
      <c r="AA31" s="194"/>
      <c r="AB31" s="194"/>
      <c r="AC31" s="194"/>
      <c r="AD31" s="194"/>
      <c r="AE31" s="194"/>
      <c r="AF31" s="194"/>
      <c r="AG31" s="231">
        <f t="shared" si="0"/>
        <v>0</v>
      </c>
      <c r="AH31" s="231"/>
      <c r="AI31" s="231"/>
      <c r="AJ31" s="231"/>
      <c r="AK31" s="231"/>
    </row>
    <row r="32" spans="1:52" x14ac:dyDescent="0.25">
      <c r="A32" s="307"/>
      <c r="B32" s="307"/>
      <c r="C32" s="307"/>
      <c r="D32" s="274"/>
      <c r="E32" s="274"/>
      <c r="F32" s="274"/>
      <c r="G32" s="274"/>
      <c r="H32" s="274"/>
      <c r="I32" s="274"/>
      <c r="J32" s="274"/>
      <c r="K32" s="274"/>
      <c r="L32" s="274"/>
      <c r="M32" s="199" t="e">
        <f>VLOOKUP($D32, DATA!$F$87:$V$126, 7, FALSE)</f>
        <v>#N/A</v>
      </c>
      <c r="N32" s="199" t="e">
        <f>VLOOKUP($D32, DATA!$F$87:$V$126, 8, FALSE)</f>
        <v>#N/A</v>
      </c>
      <c r="O32" s="199" t="e">
        <f>VLOOKUP($D32, DATA!$F$87:$V$126, 9, FALSE)</f>
        <v>#N/A</v>
      </c>
      <c r="P32" s="199" t="e">
        <f>VLOOKUP($D32, DATA!$F$87:$V$126, 10, FALSE)</f>
        <v>#N/A</v>
      </c>
      <c r="Q32" s="199" t="e">
        <f>VLOOKUP($D32, DATA!$F$87:$V$126, 11, FALSE)</f>
        <v>#N/A</v>
      </c>
      <c r="R32" s="199" t="e">
        <f>VLOOKUP($D32, DATA!$F$87:$V$126, 12, FALSE)</f>
        <v>#N/A</v>
      </c>
      <c r="S32" s="199" t="e">
        <f>VLOOKUP($D32, DATA!$F$87:$V$126, 13, FALSE)</f>
        <v>#N/A</v>
      </c>
      <c r="T32" s="199" t="e">
        <f>VLOOKUP($D32, DATA!$F$87:$V$126, 14, FALSE)</f>
        <v>#N/A</v>
      </c>
      <c r="U32" s="231">
        <f>IF(ISBLANK(D32), 0, VLOOKUP($D32, DATA!$F$87:$V$126, 15, FALSE))</f>
        <v>0</v>
      </c>
      <c r="V32" s="231"/>
      <c r="W32" s="231"/>
      <c r="X32" s="231"/>
      <c r="Y32" s="231"/>
      <c r="Z32" s="193"/>
      <c r="AA32" s="194"/>
      <c r="AB32" s="194"/>
      <c r="AC32" s="194"/>
      <c r="AD32" s="194"/>
      <c r="AE32" s="194"/>
      <c r="AF32" s="194"/>
      <c r="AG32" s="231">
        <f t="shared" si="0"/>
        <v>0</v>
      </c>
      <c r="AH32" s="231"/>
      <c r="AI32" s="231"/>
      <c r="AJ32" s="231"/>
      <c r="AK32" s="231"/>
    </row>
    <row r="33" spans="1:38" x14ac:dyDescent="0.25">
      <c r="A33" s="307"/>
      <c r="B33" s="307"/>
      <c r="C33" s="307"/>
      <c r="D33" s="274"/>
      <c r="E33" s="274"/>
      <c r="F33" s="274"/>
      <c r="G33" s="274"/>
      <c r="H33" s="274"/>
      <c r="I33" s="274"/>
      <c r="J33" s="274"/>
      <c r="K33" s="274"/>
      <c r="L33" s="274"/>
      <c r="M33" s="199" t="e">
        <f>VLOOKUP($D33, DATA!$F$87:$V$126, 7, FALSE)</f>
        <v>#N/A</v>
      </c>
      <c r="N33" s="199" t="e">
        <f>VLOOKUP($D33, DATA!$F$87:$V$126, 8, FALSE)</f>
        <v>#N/A</v>
      </c>
      <c r="O33" s="199" t="e">
        <f>VLOOKUP($D33, DATA!$F$87:$V$126, 9, FALSE)</f>
        <v>#N/A</v>
      </c>
      <c r="P33" s="199" t="e">
        <f>VLOOKUP($D33, DATA!$F$87:$V$126, 10, FALSE)</f>
        <v>#N/A</v>
      </c>
      <c r="Q33" s="199" t="e">
        <f>VLOOKUP($D33, DATA!$F$87:$V$126, 11, FALSE)</f>
        <v>#N/A</v>
      </c>
      <c r="R33" s="199" t="e">
        <f>VLOOKUP($D33, DATA!$F$87:$V$126, 12, FALSE)</f>
        <v>#N/A</v>
      </c>
      <c r="S33" s="199" t="e">
        <f>VLOOKUP($D33, DATA!$F$87:$V$126, 13, FALSE)</f>
        <v>#N/A</v>
      </c>
      <c r="T33" s="199" t="e">
        <f>VLOOKUP($D33, DATA!$F$87:$V$126, 14, FALSE)</f>
        <v>#N/A</v>
      </c>
      <c r="U33" s="231">
        <f>IF(ISBLANK(D33), 0, VLOOKUP($D33, DATA!$F$87:$V$126, 15, FALSE))</f>
        <v>0</v>
      </c>
      <c r="V33" s="231"/>
      <c r="W33" s="231"/>
      <c r="X33" s="231"/>
      <c r="Y33" s="231"/>
      <c r="Z33" s="193"/>
      <c r="AA33" s="194"/>
      <c r="AB33" s="194"/>
      <c r="AC33" s="194"/>
      <c r="AD33" s="194"/>
      <c r="AE33" s="194"/>
      <c r="AF33" s="194"/>
      <c r="AG33" s="231">
        <f t="shared" si="0"/>
        <v>0</v>
      </c>
      <c r="AH33" s="231"/>
      <c r="AI33" s="231"/>
      <c r="AJ33" s="231"/>
      <c r="AK33" s="231"/>
    </row>
    <row r="34" spans="1:38" x14ac:dyDescent="0.25">
      <c r="A34" s="307"/>
      <c r="B34" s="307"/>
      <c r="C34" s="307"/>
      <c r="D34" s="274"/>
      <c r="E34" s="274"/>
      <c r="F34" s="274"/>
      <c r="G34" s="274"/>
      <c r="H34" s="274"/>
      <c r="I34" s="274"/>
      <c r="J34" s="274"/>
      <c r="K34" s="274"/>
      <c r="L34" s="274"/>
      <c r="M34" s="199" t="e">
        <f>VLOOKUP($D34, DATA!$F$87:$V$126, 7, FALSE)</f>
        <v>#N/A</v>
      </c>
      <c r="N34" s="199" t="e">
        <f>VLOOKUP($D34, DATA!$F$87:$V$126, 8, FALSE)</f>
        <v>#N/A</v>
      </c>
      <c r="O34" s="199" t="e">
        <f>VLOOKUP($D34, DATA!$F$87:$V$126, 9, FALSE)</f>
        <v>#N/A</v>
      </c>
      <c r="P34" s="199" t="e">
        <f>VLOOKUP($D34, DATA!$F$87:$V$126, 10, FALSE)</f>
        <v>#N/A</v>
      </c>
      <c r="Q34" s="199" t="e">
        <f>VLOOKUP($D34, DATA!$F$87:$V$126, 11, FALSE)</f>
        <v>#N/A</v>
      </c>
      <c r="R34" s="199" t="e">
        <f>VLOOKUP($D34, DATA!$F$87:$V$126, 12, FALSE)</f>
        <v>#N/A</v>
      </c>
      <c r="S34" s="199" t="e">
        <f>VLOOKUP($D34, DATA!$F$87:$V$126, 13, FALSE)</f>
        <v>#N/A</v>
      </c>
      <c r="T34" s="199" t="e">
        <f>VLOOKUP($D34, DATA!$F$87:$V$126, 14, FALSE)</f>
        <v>#N/A</v>
      </c>
      <c r="U34" s="231">
        <f>IF(ISBLANK(D34), 0, VLOOKUP($D34, DATA!$F$87:$V$126, 15, FALSE))</f>
        <v>0</v>
      </c>
      <c r="V34" s="231"/>
      <c r="W34" s="231"/>
      <c r="X34" s="231"/>
      <c r="Y34" s="231"/>
      <c r="Z34" s="193"/>
      <c r="AA34" s="194"/>
      <c r="AB34" s="194"/>
      <c r="AC34" s="194"/>
      <c r="AD34" s="194"/>
      <c r="AE34" s="194"/>
      <c r="AF34" s="194"/>
      <c r="AG34" s="231">
        <f t="shared" si="0"/>
        <v>0</v>
      </c>
      <c r="AH34" s="231"/>
      <c r="AI34" s="231"/>
      <c r="AJ34" s="231"/>
      <c r="AK34" s="231"/>
    </row>
    <row r="35" spans="1:38" x14ac:dyDescent="0.25">
      <c r="Y35" s="147">
        <f>SUM(U5:Y34)</f>
        <v>0</v>
      </c>
      <c r="AK35" s="147">
        <f>SUM(AG5:AK34)</f>
        <v>0</v>
      </c>
      <c r="AL35" s="147">
        <f>Y35+AK35+AY6+AY25+AV5</f>
        <v>0</v>
      </c>
    </row>
  </sheetData>
  <mergeCells count="187">
    <mergeCell ref="AM20:AV20"/>
    <mergeCell ref="AW20:AX20"/>
    <mergeCell ref="AM21:AV21"/>
    <mergeCell ref="AW21:AX21"/>
    <mergeCell ref="AM22:AV22"/>
    <mergeCell ref="AW22:AX22"/>
    <mergeCell ref="AM23:AV23"/>
    <mergeCell ref="AW23:AX23"/>
    <mergeCell ref="AM24:AV24"/>
    <mergeCell ref="AW24:AX24"/>
    <mergeCell ref="AW19:AX19"/>
    <mergeCell ref="AM12:AV12"/>
    <mergeCell ref="AM13:AV13"/>
    <mergeCell ref="AM14:AV14"/>
    <mergeCell ref="AM15:AV15"/>
    <mergeCell ref="AM16:AV16"/>
    <mergeCell ref="AM17:AV17"/>
    <mergeCell ref="AM18:AV18"/>
    <mergeCell ref="AM19:AV19"/>
    <mergeCell ref="AW16:AX16"/>
    <mergeCell ref="AW17:AX17"/>
    <mergeCell ref="AW18:AX18"/>
    <mergeCell ref="AS7:AW7"/>
    <mergeCell ref="AM11:AQ11"/>
    <mergeCell ref="AM10:AQ10"/>
    <mergeCell ref="AM9:AQ9"/>
    <mergeCell ref="AM8:AQ8"/>
    <mergeCell ref="AM7:AQ7"/>
    <mergeCell ref="AS10:AW10"/>
    <mergeCell ref="AW12:AX12"/>
    <mergeCell ref="A34:C34"/>
    <mergeCell ref="D34:L34"/>
    <mergeCell ref="U33:Y33"/>
    <mergeCell ref="AG34:AK34"/>
    <mergeCell ref="U34:Y34"/>
    <mergeCell ref="AS11:AW11"/>
    <mergeCell ref="AS9:AW9"/>
    <mergeCell ref="AS8:AW8"/>
    <mergeCell ref="AW13:AX13"/>
    <mergeCell ref="AW14:AX14"/>
    <mergeCell ref="AW15:AX15"/>
    <mergeCell ref="A31:C31"/>
    <mergeCell ref="D31:L31"/>
    <mergeCell ref="U30:Y30"/>
    <mergeCell ref="AG31:AK31"/>
    <mergeCell ref="A32:C32"/>
    <mergeCell ref="D32:L32"/>
    <mergeCell ref="U31:Y31"/>
    <mergeCell ref="AG32:AK32"/>
    <mergeCell ref="A33:C33"/>
    <mergeCell ref="D33:L33"/>
    <mergeCell ref="U32:Y32"/>
    <mergeCell ref="AG33:AK33"/>
    <mergeCell ref="A28:C28"/>
    <mergeCell ref="D28:L28"/>
    <mergeCell ref="AG28:AK28"/>
    <mergeCell ref="A29:C29"/>
    <mergeCell ref="D29:L29"/>
    <mergeCell ref="U28:Y28"/>
    <mergeCell ref="AG29:AK29"/>
    <mergeCell ref="A30:C30"/>
    <mergeCell ref="D30:L30"/>
    <mergeCell ref="U29:Y29"/>
    <mergeCell ref="AG30:AK30"/>
    <mergeCell ref="A25:C25"/>
    <mergeCell ref="D25:L25"/>
    <mergeCell ref="U24:Y24"/>
    <mergeCell ref="AG25:AK25"/>
    <mergeCell ref="A26:C26"/>
    <mergeCell ref="D26:L26"/>
    <mergeCell ref="U25:Y25"/>
    <mergeCell ref="AG26:AK26"/>
    <mergeCell ref="A27:C27"/>
    <mergeCell ref="D27:L27"/>
    <mergeCell ref="U26:Y26"/>
    <mergeCell ref="AG27:AK27"/>
    <mergeCell ref="U27:Y27"/>
    <mergeCell ref="A22:C22"/>
    <mergeCell ref="D22:L22"/>
    <mergeCell ref="U21:Y21"/>
    <mergeCell ref="AG22:AK22"/>
    <mergeCell ref="A23:C23"/>
    <mergeCell ref="D23:L23"/>
    <mergeCell ref="U22:Y22"/>
    <mergeCell ref="AG23:AK23"/>
    <mergeCell ref="A24:C24"/>
    <mergeCell ref="D24:L24"/>
    <mergeCell ref="U23:Y23"/>
    <mergeCell ref="AG24:AK24"/>
    <mergeCell ref="A19:C19"/>
    <mergeCell ref="D19:L19"/>
    <mergeCell ref="U18:Y18"/>
    <mergeCell ref="AG19:AK19"/>
    <mergeCell ref="A20:C20"/>
    <mergeCell ref="D20:L20"/>
    <mergeCell ref="U19:Y19"/>
    <mergeCell ref="AG20:AK20"/>
    <mergeCell ref="A21:C21"/>
    <mergeCell ref="D21:L21"/>
    <mergeCell ref="U20:Y20"/>
    <mergeCell ref="AG21:AK21"/>
    <mergeCell ref="A16:C16"/>
    <mergeCell ref="D16:L16"/>
    <mergeCell ref="U15:Y15"/>
    <mergeCell ref="AG16:AK16"/>
    <mergeCell ref="A17:C17"/>
    <mergeCell ref="D17:L17"/>
    <mergeCell ref="U16:Y16"/>
    <mergeCell ref="AG17:AK17"/>
    <mergeCell ref="A18:C18"/>
    <mergeCell ref="D18:L18"/>
    <mergeCell ref="U17:Y17"/>
    <mergeCell ref="AG18:AK18"/>
    <mergeCell ref="A13:C13"/>
    <mergeCell ref="D13:L13"/>
    <mergeCell ref="U12:Y12"/>
    <mergeCell ref="AG13:AK13"/>
    <mergeCell ref="A14:C14"/>
    <mergeCell ref="D14:L14"/>
    <mergeCell ref="U13:Y13"/>
    <mergeCell ref="AG14:AK14"/>
    <mergeCell ref="A15:C15"/>
    <mergeCell ref="D15:L15"/>
    <mergeCell ref="U14:Y14"/>
    <mergeCell ref="AG15:AK15"/>
    <mergeCell ref="A10:C10"/>
    <mergeCell ref="D10:L10"/>
    <mergeCell ref="U9:Y9"/>
    <mergeCell ref="AG10:AK10"/>
    <mergeCell ref="A11:C11"/>
    <mergeCell ref="D11:L11"/>
    <mergeCell ref="U10:Y10"/>
    <mergeCell ref="AG11:AK11"/>
    <mergeCell ref="A12:C12"/>
    <mergeCell ref="D12:L12"/>
    <mergeCell ref="U11:Y11"/>
    <mergeCell ref="AG12:AK12"/>
    <mergeCell ref="A7:C7"/>
    <mergeCell ref="D7:L7"/>
    <mergeCell ref="U6:Y6"/>
    <mergeCell ref="AG7:AK7"/>
    <mergeCell ref="A8:C8"/>
    <mergeCell ref="D8:L8"/>
    <mergeCell ref="U7:Y7"/>
    <mergeCell ref="AG8:AK8"/>
    <mergeCell ref="A9:C9"/>
    <mergeCell ref="D9:L9"/>
    <mergeCell ref="U8:Y8"/>
    <mergeCell ref="AG9:AK9"/>
    <mergeCell ref="A5:C5"/>
    <mergeCell ref="AG5:AK5"/>
    <mergeCell ref="AG4:AK4"/>
    <mergeCell ref="A4:C4"/>
    <mergeCell ref="A6:C6"/>
    <mergeCell ref="D6:L6"/>
    <mergeCell ref="U5:Y5"/>
    <mergeCell ref="U4:Y4"/>
    <mergeCell ref="D5:L5"/>
    <mergeCell ref="D4:L4"/>
    <mergeCell ref="AG6:AK6"/>
    <mergeCell ref="A2:E2"/>
    <mergeCell ref="F2:G2"/>
    <mergeCell ref="I2:L2"/>
    <mergeCell ref="M2:N2"/>
    <mergeCell ref="P2:Q2"/>
    <mergeCell ref="A1:B1"/>
    <mergeCell ref="C1:G1"/>
    <mergeCell ref="I1:K1"/>
    <mergeCell ref="T1:U1"/>
    <mergeCell ref="L1:N1"/>
    <mergeCell ref="P1:S1"/>
    <mergeCell ref="AD1:AG1"/>
    <mergeCell ref="AH1:AI1"/>
    <mergeCell ref="R2:U2"/>
    <mergeCell ref="W2:Z2"/>
    <mergeCell ref="AA2:AB2"/>
    <mergeCell ref="AM5:AS5"/>
    <mergeCell ref="AT5:AU5"/>
    <mergeCell ref="AV5:AX5"/>
    <mergeCell ref="AW6:AX6"/>
    <mergeCell ref="AU6:AV6"/>
    <mergeCell ref="AS6:AT6"/>
    <mergeCell ref="AQ6:AR6"/>
    <mergeCell ref="AO6:AP6"/>
    <mergeCell ref="AM6:AN6"/>
    <mergeCell ref="AA1:AB1"/>
    <mergeCell ref="W1:Z1"/>
  </mergeCells>
  <conditionalFormatting sqref="M5:T34">
    <cfRule type="containsErrors" dxfId="0" priority="1">
      <formula>ISERROR(M5)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DATA!$R$53:$R$54</xm:f>
          </x14:formula1>
          <xm:sqref>A5:C34</xm:sqref>
        </x14:dataValidation>
        <x14:dataValidation type="list" allowBlank="1" showInputMessage="1" showErrorMessage="1">
          <x14:formula1>
            <xm:f>IF(LEFT(A5, 1)="D", DATA!$F$116:$F$126, DATA!$F$87:$F$115)</xm:f>
          </x14:formula1>
          <xm:sqref>D5:L34</xm:sqref>
        </x14:dataValidation>
        <x14:dataValidation type="list" allowBlank="1" showInputMessage="1" showErrorMessage="1">
          <x14:formula1>
            <xm:f>DATA!$X$70:$X$80</xm:f>
          </x14:formula1>
          <xm:sqref>AM5:AS5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workbookViewId="0">
      <pane ySplit="2" topLeftCell="A3" activePane="bottomLeft" state="frozen"/>
      <selection pane="bottomLeft" activeCell="A5" sqref="A5:I5"/>
    </sheetView>
  </sheetViews>
  <sheetFormatPr defaultColWidth="3.42578125" defaultRowHeight="15" x14ac:dyDescent="0.25"/>
  <cols>
    <col min="1" max="1" width="3.42578125" style="123"/>
    <col min="2" max="23" width="3.42578125" style="121"/>
    <col min="24" max="24" width="3.42578125" style="121" customWidth="1"/>
    <col min="25" max="16384" width="3.42578125" style="121"/>
  </cols>
  <sheetData>
    <row r="1" spans="1:36" s="124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12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12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12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12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129" t="s">
        <v>56</v>
      </c>
    </row>
    <row r="2" spans="1:36" s="124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12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12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12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129" t="s">
        <v>56</v>
      </c>
      <c r="AJ2" s="129" t="s">
        <v>56</v>
      </c>
    </row>
    <row r="3" spans="1:36" s="124" customFormat="1" x14ac:dyDescent="0.25">
      <c r="A3" s="134"/>
      <c r="B3" s="134"/>
      <c r="C3" s="134"/>
      <c r="D3" s="134"/>
      <c r="E3" s="134"/>
      <c r="F3" s="120"/>
      <c r="G3" s="120"/>
      <c r="H3" s="129"/>
      <c r="I3" s="127"/>
      <c r="J3" s="127"/>
      <c r="K3" s="127"/>
      <c r="L3" s="127"/>
      <c r="M3" s="120"/>
      <c r="N3" s="120"/>
      <c r="O3" s="129"/>
      <c r="P3" s="127"/>
      <c r="Q3" s="127"/>
      <c r="R3" s="119"/>
      <c r="S3" s="119"/>
      <c r="T3" s="119"/>
      <c r="U3" s="119"/>
      <c r="V3" s="129"/>
      <c r="AC3" s="129"/>
      <c r="AJ3" s="129"/>
    </row>
    <row r="4" spans="1:36" x14ac:dyDescent="0.25">
      <c r="A4" s="229" t="s">
        <v>389</v>
      </c>
      <c r="B4" s="229"/>
      <c r="C4" s="229"/>
      <c r="D4" s="229"/>
      <c r="E4" s="229"/>
      <c r="F4" s="229"/>
      <c r="G4" s="229"/>
      <c r="H4" s="229"/>
      <c r="I4" s="229"/>
      <c r="J4" s="226" t="s">
        <v>390</v>
      </c>
      <c r="K4" s="226"/>
      <c r="L4" s="226"/>
      <c r="M4" s="226"/>
      <c r="N4" s="226"/>
      <c r="O4" s="226"/>
      <c r="P4" s="256" t="s">
        <v>392</v>
      </c>
      <c r="Q4" s="256"/>
      <c r="R4" s="256" t="s">
        <v>391</v>
      </c>
      <c r="S4" s="256"/>
      <c r="T4" s="256" t="s">
        <v>393</v>
      </c>
      <c r="U4" s="256"/>
      <c r="V4" s="125" t="e">
        <f>'2. Attributes'!R13*3</f>
        <v>#N/A</v>
      </c>
      <c r="X4" s="121" t="e">
        <f>IF(V6&gt;0, V6&amp;" Free Contact Points Remaining","")</f>
        <v>#N/A</v>
      </c>
    </row>
    <row r="5" spans="1:36" x14ac:dyDescent="0.25">
      <c r="A5" s="277"/>
      <c r="B5" s="277"/>
      <c r="C5" s="277"/>
      <c r="D5" s="277"/>
      <c r="E5" s="277"/>
      <c r="F5" s="277"/>
      <c r="G5" s="277"/>
      <c r="H5" s="277"/>
      <c r="I5" s="277"/>
      <c r="J5" s="276"/>
      <c r="K5" s="276"/>
      <c r="L5" s="276"/>
      <c r="M5" s="276"/>
      <c r="N5" s="276"/>
      <c r="O5" s="276"/>
      <c r="P5" s="268"/>
      <c r="Q5" s="268"/>
      <c r="R5" s="268"/>
      <c r="S5" s="268"/>
      <c r="T5" s="227"/>
      <c r="U5" s="227"/>
      <c r="V5" s="125">
        <f>SUM(P5:S30)</f>
        <v>0</v>
      </c>
    </row>
    <row r="6" spans="1:36" x14ac:dyDescent="0.25">
      <c r="A6" s="277"/>
      <c r="B6" s="277"/>
      <c r="C6" s="277"/>
      <c r="D6" s="277"/>
      <c r="E6" s="277"/>
      <c r="F6" s="277"/>
      <c r="G6" s="277"/>
      <c r="H6" s="277"/>
      <c r="I6" s="277"/>
      <c r="J6" s="276"/>
      <c r="K6" s="276"/>
      <c r="L6" s="276"/>
      <c r="M6" s="276"/>
      <c r="N6" s="276"/>
      <c r="O6" s="276"/>
      <c r="P6" s="268"/>
      <c r="Q6" s="268"/>
      <c r="R6" s="268"/>
      <c r="S6" s="268"/>
      <c r="T6" s="227"/>
      <c r="U6" s="227"/>
      <c r="V6" s="125" t="e">
        <f>V4-V5</f>
        <v>#N/A</v>
      </c>
    </row>
    <row r="7" spans="1:36" x14ac:dyDescent="0.25">
      <c r="A7" s="277"/>
      <c r="B7" s="277"/>
      <c r="C7" s="277"/>
      <c r="D7" s="277"/>
      <c r="E7" s="277"/>
      <c r="F7" s="277"/>
      <c r="G7" s="277"/>
      <c r="H7" s="277"/>
      <c r="I7" s="277"/>
      <c r="J7" s="276"/>
      <c r="K7" s="276"/>
      <c r="L7" s="276"/>
      <c r="M7" s="276"/>
      <c r="N7" s="276"/>
      <c r="O7" s="276"/>
      <c r="P7" s="268"/>
      <c r="Q7" s="268"/>
      <c r="R7" s="268"/>
      <c r="S7" s="268"/>
      <c r="T7" s="227"/>
      <c r="U7" s="227"/>
      <c r="V7" s="125" t="e">
        <f>IF(V6&lt;=0, SUM(P5:S30)-V4, 0)</f>
        <v>#N/A</v>
      </c>
    </row>
    <row r="8" spans="1:36" x14ac:dyDescent="0.25">
      <c r="A8" s="277"/>
      <c r="B8" s="277"/>
      <c r="C8" s="277"/>
      <c r="D8" s="277"/>
      <c r="E8" s="277"/>
      <c r="F8" s="277"/>
      <c r="G8" s="277"/>
      <c r="H8" s="277"/>
      <c r="I8" s="277"/>
      <c r="J8" s="276"/>
      <c r="K8" s="276"/>
      <c r="L8" s="276"/>
      <c r="M8" s="276"/>
      <c r="N8" s="276"/>
      <c r="O8" s="276"/>
      <c r="P8" s="268"/>
      <c r="Q8" s="268"/>
      <c r="R8" s="268"/>
      <c r="S8" s="268"/>
      <c r="T8" s="227"/>
      <c r="U8" s="227"/>
      <c r="V8" s="128"/>
    </row>
    <row r="9" spans="1:36" x14ac:dyDescent="0.25">
      <c r="A9" s="277"/>
      <c r="B9" s="277"/>
      <c r="C9" s="277"/>
      <c r="D9" s="277"/>
      <c r="E9" s="277"/>
      <c r="F9" s="277"/>
      <c r="G9" s="277"/>
      <c r="H9" s="277"/>
      <c r="I9" s="277"/>
      <c r="J9" s="276"/>
      <c r="K9" s="276"/>
      <c r="L9" s="276"/>
      <c r="M9" s="276"/>
      <c r="N9" s="276"/>
      <c r="O9" s="276"/>
      <c r="P9" s="268"/>
      <c r="Q9" s="268"/>
      <c r="R9" s="268"/>
      <c r="S9" s="268"/>
      <c r="T9" s="227"/>
      <c r="U9" s="227"/>
    </row>
    <row r="10" spans="1:36" x14ac:dyDescent="0.25">
      <c r="A10" s="277"/>
      <c r="B10" s="277"/>
      <c r="C10" s="277"/>
      <c r="D10" s="277"/>
      <c r="E10" s="277"/>
      <c r="F10" s="277"/>
      <c r="G10" s="277"/>
      <c r="H10" s="277"/>
      <c r="I10" s="277"/>
      <c r="J10" s="276"/>
      <c r="K10" s="276"/>
      <c r="L10" s="276"/>
      <c r="M10" s="276"/>
      <c r="N10" s="276"/>
      <c r="O10" s="276"/>
      <c r="P10" s="268"/>
      <c r="Q10" s="268"/>
      <c r="R10" s="268"/>
      <c r="S10" s="268"/>
      <c r="T10" s="227"/>
      <c r="U10" s="227"/>
    </row>
    <row r="11" spans="1:36" x14ac:dyDescent="0.25">
      <c r="A11" s="277"/>
      <c r="B11" s="277"/>
      <c r="C11" s="277"/>
      <c r="D11" s="277"/>
      <c r="E11" s="277"/>
      <c r="F11" s="277"/>
      <c r="G11" s="277"/>
      <c r="H11" s="277"/>
      <c r="I11" s="277"/>
      <c r="J11" s="276"/>
      <c r="K11" s="276"/>
      <c r="L11" s="276"/>
      <c r="M11" s="276"/>
      <c r="N11" s="276"/>
      <c r="O11" s="276"/>
      <c r="P11" s="268"/>
      <c r="Q11" s="268"/>
      <c r="R11" s="268"/>
      <c r="S11" s="268"/>
      <c r="T11" s="227"/>
      <c r="U11" s="227"/>
    </row>
    <row r="12" spans="1:36" x14ac:dyDescent="0.25">
      <c r="A12" s="277"/>
      <c r="B12" s="277"/>
      <c r="C12" s="277"/>
      <c r="D12" s="277"/>
      <c r="E12" s="277"/>
      <c r="F12" s="277"/>
      <c r="G12" s="277"/>
      <c r="H12" s="277"/>
      <c r="I12" s="277"/>
      <c r="J12" s="276"/>
      <c r="K12" s="276"/>
      <c r="L12" s="276"/>
      <c r="M12" s="276"/>
      <c r="N12" s="276"/>
      <c r="O12" s="276"/>
      <c r="P12" s="268"/>
      <c r="Q12" s="268"/>
      <c r="R12" s="268"/>
      <c r="S12" s="268"/>
      <c r="T12" s="227"/>
      <c r="U12" s="227"/>
    </row>
    <row r="13" spans="1:36" x14ac:dyDescent="0.25">
      <c r="A13" s="277"/>
      <c r="B13" s="277"/>
      <c r="C13" s="277"/>
      <c r="D13" s="277"/>
      <c r="E13" s="277"/>
      <c r="F13" s="277"/>
      <c r="G13" s="277"/>
      <c r="H13" s="277"/>
      <c r="I13" s="277"/>
      <c r="J13" s="276"/>
      <c r="K13" s="276"/>
      <c r="L13" s="276"/>
      <c r="M13" s="276"/>
      <c r="N13" s="276"/>
      <c r="O13" s="276"/>
      <c r="P13" s="268"/>
      <c r="Q13" s="268"/>
      <c r="R13" s="268"/>
      <c r="S13" s="268"/>
      <c r="T13" s="227"/>
      <c r="U13" s="227"/>
    </row>
    <row r="14" spans="1:36" x14ac:dyDescent="0.25">
      <c r="A14" s="277"/>
      <c r="B14" s="277"/>
      <c r="C14" s="277"/>
      <c r="D14" s="277"/>
      <c r="E14" s="277"/>
      <c r="F14" s="277"/>
      <c r="G14" s="277"/>
      <c r="H14" s="277"/>
      <c r="I14" s="277"/>
      <c r="J14" s="276"/>
      <c r="K14" s="276"/>
      <c r="L14" s="276"/>
      <c r="M14" s="276"/>
      <c r="N14" s="276"/>
      <c r="O14" s="276"/>
      <c r="P14" s="268"/>
      <c r="Q14" s="268"/>
      <c r="R14" s="268"/>
      <c r="S14" s="268"/>
      <c r="T14" s="227"/>
      <c r="U14" s="227"/>
    </row>
    <row r="15" spans="1:36" x14ac:dyDescent="0.25">
      <c r="A15" s="277"/>
      <c r="B15" s="277"/>
      <c r="C15" s="277"/>
      <c r="D15" s="277"/>
      <c r="E15" s="277"/>
      <c r="F15" s="277"/>
      <c r="G15" s="277"/>
      <c r="H15" s="277"/>
      <c r="I15" s="277"/>
      <c r="J15" s="276"/>
      <c r="K15" s="276"/>
      <c r="L15" s="276"/>
      <c r="M15" s="276"/>
      <c r="N15" s="276"/>
      <c r="O15" s="276"/>
      <c r="P15" s="268"/>
      <c r="Q15" s="268"/>
      <c r="R15" s="268"/>
      <c r="S15" s="268"/>
      <c r="T15" s="227"/>
      <c r="U15" s="227"/>
    </row>
    <row r="16" spans="1:36" x14ac:dyDescent="0.25">
      <c r="A16" s="277"/>
      <c r="B16" s="277"/>
      <c r="C16" s="277"/>
      <c r="D16" s="277"/>
      <c r="E16" s="277"/>
      <c r="F16" s="277"/>
      <c r="G16" s="277"/>
      <c r="H16" s="277"/>
      <c r="I16" s="277"/>
      <c r="J16" s="276"/>
      <c r="K16" s="276"/>
      <c r="L16" s="276"/>
      <c r="M16" s="276"/>
      <c r="N16" s="276"/>
      <c r="O16" s="276"/>
      <c r="P16" s="268"/>
      <c r="Q16" s="268"/>
      <c r="R16" s="268"/>
      <c r="S16" s="268"/>
      <c r="T16" s="227"/>
      <c r="U16" s="227"/>
    </row>
    <row r="17" spans="1:21" x14ac:dyDescent="0.25">
      <c r="A17" s="277"/>
      <c r="B17" s="277"/>
      <c r="C17" s="277"/>
      <c r="D17" s="277"/>
      <c r="E17" s="277"/>
      <c r="F17" s="277"/>
      <c r="G17" s="277"/>
      <c r="H17" s="277"/>
      <c r="I17" s="277"/>
      <c r="J17" s="276"/>
      <c r="K17" s="276"/>
      <c r="L17" s="276"/>
      <c r="M17" s="276"/>
      <c r="N17" s="276"/>
      <c r="O17" s="276"/>
      <c r="P17" s="268"/>
      <c r="Q17" s="268"/>
      <c r="R17" s="268"/>
      <c r="S17" s="268"/>
      <c r="T17" s="227"/>
      <c r="U17" s="227"/>
    </row>
    <row r="18" spans="1:21" x14ac:dyDescent="0.25">
      <c r="A18" s="277"/>
      <c r="B18" s="277"/>
      <c r="C18" s="277"/>
      <c r="D18" s="277"/>
      <c r="E18" s="277"/>
      <c r="F18" s="277"/>
      <c r="G18" s="277"/>
      <c r="H18" s="277"/>
      <c r="I18" s="277"/>
      <c r="J18" s="276"/>
      <c r="K18" s="276"/>
      <c r="L18" s="276"/>
      <c r="M18" s="276"/>
      <c r="N18" s="276"/>
      <c r="O18" s="276"/>
      <c r="P18" s="268"/>
      <c r="Q18" s="268"/>
      <c r="R18" s="268"/>
      <c r="S18" s="268"/>
      <c r="T18" s="227"/>
      <c r="U18" s="227"/>
    </row>
    <row r="19" spans="1:21" x14ac:dyDescent="0.25">
      <c r="A19" s="277"/>
      <c r="B19" s="277"/>
      <c r="C19" s="277"/>
      <c r="D19" s="277"/>
      <c r="E19" s="277"/>
      <c r="F19" s="277"/>
      <c r="G19" s="277"/>
      <c r="H19" s="277"/>
      <c r="I19" s="277"/>
      <c r="J19" s="276"/>
      <c r="K19" s="276"/>
      <c r="L19" s="276"/>
      <c r="M19" s="276"/>
      <c r="N19" s="276"/>
      <c r="O19" s="276"/>
      <c r="P19" s="268"/>
      <c r="Q19" s="268"/>
      <c r="R19" s="268"/>
      <c r="S19" s="268"/>
      <c r="T19" s="227"/>
      <c r="U19" s="227"/>
    </row>
    <row r="20" spans="1:21" x14ac:dyDescent="0.25">
      <c r="A20" s="277"/>
      <c r="B20" s="277"/>
      <c r="C20" s="277"/>
      <c r="D20" s="277"/>
      <c r="E20" s="277"/>
      <c r="F20" s="277"/>
      <c r="G20" s="277"/>
      <c r="H20" s="277"/>
      <c r="I20" s="277"/>
      <c r="J20" s="276"/>
      <c r="K20" s="276"/>
      <c r="L20" s="276"/>
      <c r="M20" s="276"/>
      <c r="N20" s="276"/>
      <c r="O20" s="276"/>
      <c r="P20" s="268"/>
      <c r="Q20" s="268"/>
      <c r="R20" s="268"/>
      <c r="S20" s="268"/>
      <c r="T20" s="227"/>
      <c r="U20" s="227"/>
    </row>
    <row r="21" spans="1:21" x14ac:dyDescent="0.25">
      <c r="A21" s="277"/>
      <c r="B21" s="277"/>
      <c r="C21" s="277"/>
      <c r="D21" s="277"/>
      <c r="E21" s="277"/>
      <c r="F21" s="277"/>
      <c r="G21" s="277"/>
      <c r="H21" s="277"/>
      <c r="I21" s="277"/>
      <c r="J21" s="276"/>
      <c r="K21" s="276"/>
      <c r="L21" s="276"/>
      <c r="M21" s="276"/>
      <c r="N21" s="276"/>
      <c r="O21" s="276"/>
      <c r="P21" s="268"/>
      <c r="Q21" s="268"/>
      <c r="R21" s="268"/>
      <c r="S21" s="268"/>
      <c r="T21" s="227"/>
      <c r="U21" s="227"/>
    </row>
    <row r="22" spans="1:21" x14ac:dyDescent="0.25">
      <c r="A22" s="277"/>
      <c r="B22" s="277"/>
      <c r="C22" s="277"/>
      <c r="D22" s="277"/>
      <c r="E22" s="277"/>
      <c r="F22" s="277"/>
      <c r="G22" s="277"/>
      <c r="H22" s="277"/>
      <c r="I22" s="277"/>
      <c r="J22" s="276"/>
      <c r="K22" s="276"/>
      <c r="L22" s="276"/>
      <c r="M22" s="276"/>
      <c r="N22" s="276"/>
      <c r="O22" s="276"/>
      <c r="P22" s="268"/>
      <c r="Q22" s="268"/>
      <c r="R22" s="268"/>
      <c r="S22" s="268"/>
      <c r="T22" s="227"/>
      <c r="U22" s="227"/>
    </row>
    <row r="23" spans="1:21" x14ac:dyDescent="0.25">
      <c r="A23" s="277"/>
      <c r="B23" s="277"/>
      <c r="C23" s="277"/>
      <c r="D23" s="277"/>
      <c r="E23" s="277"/>
      <c r="F23" s="277"/>
      <c r="G23" s="277"/>
      <c r="H23" s="277"/>
      <c r="I23" s="277"/>
      <c r="J23" s="276"/>
      <c r="K23" s="276"/>
      <c r="L23" s="276"/>
      <c r="M23" s="276"/>
      <c r="N23" s="276"/>
      <c r="O23" s="276"/>
      <c r="P23" s="268"/>
      <c r="Q23" s="268"/>
      <c r="R23" s="268"/>
      <c r="S23" s="268"/>
      <c r="T23" s="227"/>
      <c r="U23" s="227"/>
    </row>
    <row r="24" spans="1:21" x14ac:dyDescent="0.25">
      <c r="A24" s="277"/>
      <c r="B24" s="277"/>
      <c r="C24" s="277"/>
      <c r="D24" s="277"/>
      <c r="E24" s="277"/>
      <c r="F24" s="277"/>
      <c r="G24" s="277"/>
      <c r="H24" s="277"/>
      <c r="I24" s="277"/>
      <c r="J24" s="276"/>
      <c r="K24" s="276"/>
      <c r="L24" s="276"/>
      <c r="M24" s="276"/>
      <c r="N24" s="276"/>
      <c r="O24" s="276"/>
      <c r="P24" s="268"/>
      <c r="Q24" s="268"/>
      <c r="R24" s="268"/>
      <c r="S24" s="268"/>
      <c r="T24" s="227"/>
      <c r="U24" s="227"/>
    </row>
    <row r="25" spans="1:21" x14ac:dyDescent="0.25">
      <c r="A25" s="277"/>
      <c r="B25" s="277"/>
      <c r="C25" s="277"/>
      <c r="D25" s="277"/>
      <c r="E25" s="277"/>
      <c r="F25" s="277"/>
      <c r="G25" s="277"/>
      <c r="H25" s="277"/>
      <c r="I25" s="277"/>
      <c r="J25" s="276"/>
      <c r="K25" s="276"/>
      <c r="L25" s="276"/>
      <c r="M25" s="276"/>
      <c r="N25" s="276"/>
      <c r="O25" s="276"/>
      <c r="P25" s="268"/>
      <c r="Q25" s="268"/>
      <c r="R25" s="268"/>
      <c r="S25" s="268"/>
      <c r="T25" s="227"/>
      <c r="U25" s="227"/>
    </row>
    <row r="26" spans="1:21" x14ac:dyDescent="0.25">
      <c r="A26" s="277"/>
      <c r="B26" s="277"/>
      <c r="C26" s="277"/>
      <c r="D26" s="277"/>
      <c r="E26" s="277"/>
      <c r="F26" s="277"/>
      <c r="G26" s="277"/>
      <c r="H26" s="277"/>
      <c r="I26" s="277"/>
      <c r="J26" s="276"/>
      <c r="K26" s="276"/>
      <c r="L26" s="276"/>
      <c r="M26" s="276"/>
      <c r="N26" s="276"/>
      <c r="O26" s="276"/>
      <c r="P26" s="268"/>
      <c r="Q26" s="268"/>
      <c r="R26" s="268"/>
      <c r="S26" s="268"/>
      <c r="T26" s="227"/>
      <c r="U26" s="227"/>
    </row>
    <row r="27" spans="1:21" x14ac:dyDescent="0.25">
      <c r="A27" s="277"/>
      <c r="B27" s="277"/>
      <c r="C27" s="277"/>
      <c r="D27" s="277"/>
      <c r="E27" s="277"/>
      <c r="F27" s="277"/>
      <c r="G27" s="277"/>
      <c r="H27" s="277"/>
      <c r="I27" s="277"/>
      <c r="J27" s="276"/>
      <c r="K27" s="276"/>
      <c r="L27" s="276"/>
      <c r="M27" s="276"/>
      <c r="N27" s="276"/>
      <c r="O27" s="276"/>
      <c r="P27" s="268"/>
      <c r="Q27" s="268"/>
      <c r="R27" s="268"/>
      <c r="S27" s="268"/>
      <c r="T27" s="227"/>
      <c r="U27" s="227"/>
    </row>
    <row r="28" spans="1:21" x14ac:dyDescent="0.25">
      <c r="A28" s="277"/>
      <c r="B28" s="277"/>
      <c r="C28" s="277"/>
      <c r="D28" s="277"/>
      <c r="E28" s="277"/>
      <c r="F28" s="277"/>
      <c r="G28" s="277"/>
      <c r="H28" s="277"/>
      <c r="I28" s="277"/>
      <c r="J28" s="276"/>
      <c r="K28" s="276"/>
      <c r="L28" s="276"/>
      <c r="M28" s="276"/>
      <c r="N28" s="276"/>
      <c r="O28" s="276"/>
      <c r="P28" s="268"/>
      <c r="Q28" s="268"/>
      <c r="R28" s="268"/>
      <c r="S28" s="268"/>
      <c r="T28" s="227"/>
      <c r="U28" s="227"/>
    </row>
    <row r="29" spans="1:21" x14ac:dyDescent="0.25">
      <c r="A29" s="277"/>
      <c r="B29" s="277"/>
      <c r="C29" s="277"/>
      <c r="D29" s="277"/>
      <c r="E29" s="277"/>
      <c r="F29" s="277"/>
      <c r="G29" s="277"/>
      <c r="H29" s="277"/>
      <c r="I29" s="277"/>
      <c r="J29" s="276"/>
      <c r="K29" s="276"/>
      <c r="L29" s="276"/>
      <c r="M29" s="276"/>
      <c r="N29" s="276"/>
      <c r="O29" s="276"/>
      <c r="P29" s="268"/>
      <c r="Q29" s="268"/>
      <c r="R29" s="268"/>
      <c r="S29" s="268"/>
      <c r="T29" s="227"/>
      <c r="U29" s="227"/>
    </row>
    <row r="30" spans="1:21" x14ac:dyDescent="0.25">
      <c r="A30" s="277"/>
      <c r="B30" s="277"/>
      <c r="C30" s="277"/>
      <c r="D30" s="277"/>
      <c r="E30" s="277"/>
      <c r="F30" s="277"/>
      <c r="G30" s="277"/>
      <c r="H30" s="277"/>
      <c r="I30" s="277"/>
      <c r="J30" s="276"/>
      <c r="K30" s="276"/>
      <c r="L30" s="276"/>
      <c r="M30" s="276"/>
      <c r="N30" s="276"/>
      <c r="O30" s="276"/>
      <c r="P30" s="268"/>
      <c r="Q30" s="268"/>
      <c r="R30" s="268"/>
      <c r="S30" s="268"/>
      <c r="T30" s="227"/>
      <c r="U30" s="227"/>
    </row>
  </sheetData>
  <mergeCells count="153">
    <mergeCell ref="W1:Z1"/>
    <mergeCell ref="AA1:AB1"/>
    <mergeCell ref="AD1:AG1"/>
    <mergeCell ref="AH1:AI1"/>
    <mergeCell ref="A2:E2"/>
    <mergeCell ref="F2:G2"/>
    <mergeCell ref="I2:L2"/>
    <mergeCell ref="M2:N2"/>
    <mergeCell ref="P2:Q2"/>
    <mergeCell ref="R2:U2"/>
    <mergeCell ref="A1:B1"/>
    <mergeCell ref="C1:G1"/>
    <mergeCell ref="I1:K1"/>
    <mergeCell ref="L1:N1"/>
    <mergeCell ref="P1:S1"/>
    <mergeCell ref="T1:U1"/>
    <mergeCell ref="A4:I4"/>
    <mergeCell ref="T5:U5"/>
    <mergeCell ref="R5:S5"/>
    <mergeCell ref="P5:Q5"/>
    <mergeCell ref="J5:O5"/>
    <mergeCell ref="A5:I5"/>
    <mergeCell ref="W2:Z2"/>
    <mergeCell ref="AA2:AB2"/>
    <mergeCell ref="T4:U4"/>
    <mergeCell ref="R4:S4"/>
    <mergeCell ref="P4:Q4"/>
    <mergeCell ref="J4:O4"/>
    <mergeCell ref="A6:I6"/>
    <mergeCell ref="J6:O6"/>
    <mergeCell ref="P6:Q6"/>
    <mergeCell ref="R6:S6"/>
    <mergeCell ref="T6:U6"/>
    <mergeCell ref="A7:I7"/>
    <mergeCell ref="J7:O7"/>
    <mergeCell ref="P7:Q7"/>
    <mergeCell ref="R7:S7"/>
    <mergeCell ref="T7:U7"/>
    <mergeCell ref="A8:I8"/>
    <mergeCell ref="J8:O8"/>
    <mergeCell ref="P8:Q8"/>
    <mergeCell ref="R8:S8"/>
    <mergeCell ref="T8:U8"/>
    <mergeCell ref="A9:I9"/>
    <mergeCell ref="J9:O9"/>
    <mergeCell ref="P9:Q9"/>
    <mergeCell ref="R9:S9"/>
    <mergeCell ref="T9:U9"/>
    <mergeCell ref="A10:I10"/>
    <mergeCell ref="J10:O10"/>
    <mergeCell ref="P10:Q10"/>
    <mergeCell ref="R10:S10"/>
    <mergeCell ref="T10:U10"/>
    <mergeCell ref="A11:I11"/>
    <mergeCell ref="J11:O11"/>
    <mergeCell ref="P11:Q11"/>
    <mergeCell ref="R11:S11"/>
    <mergeCell ref="T11:U11"/>
    <mergeCell ref="A12:I12"/>
    <mergeCell ref="J12:O12"/>
    <mergeCell ref="P12:Q12"/>
    <mergeCell ref="R12:S12"/>
    <mergeCell ref="T12:U12"/>
    <mergeCell ref="A13:I13"/>
    <mergeCell ref="J13:O13"/>
    <mergeCell ref="P13:Q13"/>
    <mergeCell ref="R13:S13"/>
    <mergeCell ref="T13:U13"/>
    <mergeCell ref="A14:I14"/>
    <mergeCell ref="J14:O14"/>
    <mergeCell ref="P14:Q14"/>
    <mergeCell ref="R14:S14"/>
    <mergeCell ref="T14:U14"/>
    <mergeCell ref="A15:I15"/>
    <mergeCell ref="J15:O15"/>
    <mergeCell ref="P15:Q15"/>
    <mergeCell ref="R15:S15"/>
    <mergeCell ref="T15:U15"/>
    <mergeCell ref="A16:I16"/>
    <mergeCell ref="J16:O16"/>
    <mergeCell ref="P16:Q16"/>
    <mergeCell ref="R16:S16"/>
    <mergeCell ref="T16:U16"/>
    <mergeCell ref="A17:I17"/>
    <mergeCell ref="J17:O17"/>
    <mergeCell ref="P17:Q17"/>
    <mergeCell ref="R17:S17"/>
    <mergeCell ref="T17:U17"/>
    <mergeCell ref="A18:I18"/>
    <mergeCell ref="J18:O18"/>
    <mergeCell ref="P18:Q18"/>
    <mergeCell ref="R18:S18"/>
    <mergeCell ref="T18:U18"/>
    <mergeCell ref="A19:I19"/>
    <mergeCell ref="J19:O19"/>
    <mergeCell ref="P19:Q19"/>
    <mergeCell ref="R19:S19"/>
    <mergeCell ref="T19:U19"/>
    <mergeCell ref="A20:I20"/>
    <mergeCell ref="J20:O20"/>
    <mergeCell ref="P20:Q20"/>
    <mergeCell ref="R20:S20"/>
    <mergeCell ref="T20:U20"/>
    <mergeCell ref="A21:I21"/>
    <mergeCell ref="J21:O21"/>
    <mergeCell ref="P21:Q21"/>
    <mergeCell ref="R21:S21"/>
    <mergeCell ref="T21:U21"/>
    <mergeCell ref="A22:I22"/>
    <mergeCell ref="J22:O22"/>
    <mergeCell ref="P22:Q22"/>
    <mergeCell ref="R22:S22"/>
    <mergeCell ref="T22:U22"/>
    <mergeCell ref="A23:I23"/>
    <mergeCell ref="J23:O23"/>
    <mergeCell ref="P23:Q23"/>
    <mergeCell ref="R23:S23"/>
    <mergeCell ref="T23:U23"/>
    <mergeCell ref="A24:I24"/>
    <mergeCell ref="J24:O24"/>
    <mergeCell ref="P24:Q24"/>
    <mergeCell ref="R24:S24"/>
    <mergeCell ref="T24:U24"/>
    <mergeCell ref="A25:I25"/>
    <mergeCell ref="J25:O25"/>
    <mergeCell ref="P25:Q25"/>
    <mergeCell ref="R25:S25"/>
    <mergeCell ref="T25:U25"/>
    <mergeCell ref="A26:I26"/>
    <mergeCell ref="J26:O26"/>
    <mergeCell ref="P26:Q26"/>
    <mergeCell ref="R26:S26"/>
    <mergeCell ref="T26:U26"/>
    <mergeCell ref="A27:I27"/>
    <mergeCell ref="J27:O27"/>
    <mergeCell ref="P27:Q27"/>
    <mergeCell ref="R27:S27"/>
    <mergeCell ref="T27:U27"/>
    <mergeCell ref="A30:I30"/>
    <mergeCell ref="J30:O30"/>
    <mergeCell ref="P30:Q30"/>
    <mergeCell ref="R30:S30"/>
    <mergeCell ref="T30:U30"/>
    <mergeCell ref="A28:I28"/>
    <mergeCell ref="J28:O28"/>
    <mergeCell ref="P28:Q28"/>
    <mergeCell ref="R28:S28"/>
    <mergeCell ref="T28:U28"/>
    <mergeCell ref="A29:I29"/>
    <mergeCell ref="J29:O29"/>
    <mergeCell ref="P29:Q29"/>
    <mergeCell ref="R29:S29"/>
    <mergeCell ref="T29:U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390"/>
  <sheetViews>
    <sheetView topLeftCell="A34" workbookViewId="0">
      <selection activeCell="AM74" sqref="AM74"/>
    </sheetView>
  </sheetViews>
  <sheetFormatPr defaultColWidth="4.28515625" defaultRowHeight="15" x14ac:dyDescent="0.25"/>
  <cols>
    <col min="1" max="11" width="4.28515625" style="1"/>
    <col min="12" max="12" width="4.28515625" style="1" customWidth="1"/>
    <col min="13" max="13" width="4.42578125" style="1" customWidth="1"/>
    <col min="14" max="19" width="4.28515625" style="1"/>
    <col min="20" max="20" width="4.28515625" style="1" customWidth="1"/>
    <col min="21" max="16384" width="4.28515625" style="1"/>
  </cols>
  <sheetData>
    <row r="1" spans="1:41" x14ac:dyDescent="0.25">
      <c r="A1" s="294" t="s">
        <v>62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N1" s="294" t="s">
        <v>63</v>
      </c>
      <c r="O1" s="295"/>
      <c r="P1" s="295"/>
      <c r="Q1" s="295"/>
      <c r="R1" s="295"/>
      <c r="S1" s="295"/>
      <c r="T1" s="296"/>
      <c r="U1" s="294" t="s">
        <v>64</v>
      </c>
      <c r="V1" s="295"/>
      <c r="W1" s="295"/>
      <c r="X1" s="295"/>
      <c r="Y1" s="295"/>
      <c r="Z1" s="295"/>
      <c r="AA1" s="296"/>
      <c r="AB1" s="294" t="s">
        <v>65</v>
      </c>
      <c r="AC1" s="295"/>
      <c r="AD1" s="295"/>
      <c r="AE1" s="295"/>
      <c r="AF1" s="295"/>
      <c r="AG1" s="295"/>
      <c r="AH1" s="296"/>
      <c r="AI1" s="294" t="s">
        <v>66</v>
      </c>
      <c r="AJ1" s="295"/>
      <c r="AK1" s="295"/>
      <c r="AL1" s="295"/>
      <c r="AM1" s="295"/>
      <c r="AN1" s="295"/>
      <c r="AO1" s="296"/>
    </row>
    <row r="2" spans="1:41" s="34" customFormat="1" ht="52.5" x14ac:dyDescent="0.25">
      <c r="A2" s="29"/>
      <c r="B2" s="30" t="s">
        <v>67</v>
      </c>
      <c r="C2" s="31" t="s">
        <v>68</v>
      </c>
      <c r="D2" s="31" t="s">
        <v>69</v>
      </c>
      <c r="E2" s="31" t="s">
        <v>70</v>
      </c>
      <c r="F2" s="32" t="s">
        <v>71</v>
      </c>
      <c r="G2" s="33" t="s">
        <v>6</v>
      </c>
      <c r="H2" s="30" t="s">
        <v>72</v>
      </c>
      <c r="I2" s="32" t="s">
        <v>73</v>
      </c>
      <c r="J2" s="380" t="s">
        <v>13</v>
      </c>
      <c r="K2" s="381"/>
      <c r="L2" s="381"/>
      <c r="M2" s="382"/>
      <c r="N2" s="30" t="s">
        <v>74</v>
      </c>
      <c r="O2" s="31" t="s">
        <v>75</v>
      </c>
      <c r="P2" s="31" t="s">
        <v>76</v>
      </c>
      <c r="Q2" s="31" t="s">
        <v>77</v>
      </c>
      <c r="R2" s="31" t="s">
        <v>78</v>
      </c>
      <c r="S2" s="31" t="s">
        <v>79</v>
      </c>
      <c r="T2" s="32" t="s">
        <v>80</v>
      </c>
      <c r="U2" s="30" t="s">
        <v>74</v>
      </c>
      <c r="V2" s="31" t="s">
        <v>75</v>
      </c>
      <c r="W2" s="31" t="s">
        <v>76</v>
      </c>
      <c r="X2" s="31" t="s">
        <v>77</v>
      </c>
      <c r="Y2" s="31" t="s">
        <v>78</v>
      </c>
      <c r="Z2" s="31" t="s">
        <v>79</v>
      </c>
      <c r="AA2" s="32" t="s">
        <v>80</v>
      </c>
      <c r="AB2" s="30" t="s">
        <v>74</v>
      </c>
      <c r="AC2" s="31" t="s">
        <v>75</v>
      </c>
      <c r="AD2" s="31" t="s">
        <v>76</v>
      </c>
      <c r="AE2" s="31" t="s">
        <v>77</v>
      </c>
      <c r="AF2" s="31" t="s">
        <v>78</v>
      </c>
      <c r="AG2" s="31" t="s">
        <v>79</v>
      </c>
      <c r="AH2" s="32" t="s">
        <v>80</v>
      </c>
      <c r="AI2" s="30" t="s">
        <v>74</v>
      </c>
      <c r="AJ2" s="31" t="s">
        <v>75</v>
      </c>
      <c r="AK2" s="31" t="s">
        <v>76</v>
      </c>
      <c r="AL2" s="31" t="s">
        <v>77</v>
      </c>
      <c r="AM2" s="31" t="s">
        <v>78</v>
      </c>
      <c r="AN2" s="31" t="s">
        <v>79</v>
      </c>
      <c r="AO2" s="32" t="s">
        <v>81</v>
      </c>
    </row>
    <row r="3" spans="1:41" x14ac:dyDescent="0.25">
      <c r="A3" s="9" t="s">
        <v>0</v>
      </c>
      <c r="B3" s="35">
        <v>9</v>
      </c>
      <c r="C3" s="36">
        <v>8</v>
      </c>
      <c r="D3" s="36">
        <v>7</v>
      </c>
      <c r="E3" s="36">
        <v>7</v>
      </c>
      <c r="F3" s="37">
        <v>5</v>
      </c>
      <c r="G3" s="26">
        <v>24</v>
      </c>
      <c r="H3" s="35">
        <v>46</v>
      </c>
      <c r="I3" s="37">
        <v>10</v>
      </c>
      <c r="J3" s="374">
        <v>450000</v>
      </c>
      <c r="K3" s="375"/>
      <c r="L3" s="375"/>
      <c r="M3" s="376"/>
      <c r="N3" s="35">
        <v>6</v>
      </c>
      <c r="O3" s="36">
        <v>2</v>
      </c>
      <c r="P3" s="36">
        <v>0</v>
      </c>
      <c r="Q3" s="36">
        <v>0</v>
      </c>
      <c r="R3" s="36">
        <v>0</v>
      </c>
      <c r="S3" s="36">
        <v>0</v>
      </c>
      <c r="T3" s="37">
        <v>10</v>
      </c>
      <c r="U3" s="35">
        <v>0</v>
      </c>
      <c r="V3" s="36">
        <v>0</v>
      </c>
      <c r="W3" s="36">
        <v>0</v>
      </c>
      <c r="X3" s="36">
        <v>0</v>
      </c>
      <c r="Y3" s="36">
        <v>0</v>
      </c>
      <c r="Z3" s="36">
        <v>0</v>
      </c>
      <c r="AA3" s="37">
        <v>0</v>
      </c>
      <c r="AB3" s="35">
        <v>0</v>
      </c>
      <c r="AC3" s="36">
        <v>0</v>
      </c>
      <c r="AD3" s="36">
        <v>0</v>
      </c>
      <c r="AE3" s="36">
        <v>0</v>
      </c>
      <c r="AF3" s="36">
        <v>0</v>
      </c>
      <c r="AG3" s="36">
        <v>0</v>
      </c>
      <c r="AH3" s="37">
        <v>0</v>
      </c>
      <c r="AI3" s="35">
        <v>6</v>
      </c>
      <c r="AJ3" s="36">
        <v>2</v>
      </c>
      <c r="AK3" s="36">
        <v>0</v>
      </c>
      <c r="AL3" s="36">
        <v>0</v>
      </c>
      <c r="AM3" s="36">
        <v>0</v>
      </c>
      <c r="AN3" s="36">
        <v>0</v>
      </c>
      <c r="AO3" s="37">
        <v>5</v>
      </c>
    </row>
    <row r="4" spans="1:41" x14ac:dyDescent="0.25">
      <c r="A4" s="9" t="s">
        <v>1</v>
      </c>
      <c r="B4" s="38">
        <v>7</v>
      </c>
      <c r="C4" s="2">
        <v>6</v>
      </c>
      <c r="D4" s="2">
        <v>4</v>
      </c>
      <c r="E4" s="39">
        <v>4</v>
      </c>
      <c r="F4" s="40">
        <v>0</v>
      </c>
      <c r="G4" s="27">
        <v>20</v>
      </c>
      <c r="H4" s="38">
        <v>36</v>
      </c>
      <c r="I4" s="40">
        <v>5</v>
      </c>
      <c r="J4" s="377">
        <v>275000</v>
      </c>
      <c r="K4" s="378"/>
      <c r="L4" s="378"/>
      <c r="M4" s="379"/>
      <c r="N4" s="38">
        <v>4</v>
      </c>
      <c r="O4" s="2">
        <v>0</v>
      </c>
      <c r="P4" s="2">
        <v>2</v>
      </c>
      <c r="Q4" s="2">
        <v>0</v>
      </c>
      <c r="R4" s="2">
        <v>0</v>
      </c>
      <c r="S4" s="2">
        <v>0</v>
      </c>
      <c r="T4" s="40">
        <v>7</v>
      </c>
      <c r="U4" s="38">
        <v>6</v>
      </c>
      <c r="V4" s="2">
        <v>0</v>
      </c>
      <c r="W4" s="2">
        <v>1</v>
      </c>
      <c r="X4" s="2">
        <v>0</v>
      </c>
      <c r="Y4" s="2">
        <v>0</v>
      </c>
      <c r="Z4" s="2">
        <v>0</v>
      </c>
      <c r="AA4" s="40">
        <v>0</v>
      </c>
      <c r="AB4" s="38">
        <v>5</v>
      </c>
      <c r="AC4" s="2">
        <v>0</v>
      </c>
      <c r="AD4" s="2">
        <v>0</v>
      </c>
      <c r="AE4" s="2">
        <v>0</v>
      </c>
      <c r="AF4" s="2">
        <v>1</v>
      </c>
      <c r="AG4" s="2">
        <v>0</v>
      </c>
      <c r="AH4" s="40">
        <v>0</v>
      </c>
      <c r="AI4" s="38">
        <v>4</v>
      </c>
      <c r="AJ4" s="2">
        <v>0</v>
      </c>
      <c r="AK4" s="2">
        <v>2</v>
      </c>
      <c r="AL4" s="2">
        <v>0</v>
      </c>
      <c r="AM4" s="2">
        <v>0</v>
      </c>
      <c r="AN4" s="2">
        <v>0</v>
      </c>
      <c r="AO4" s="40">
        <v>2</v>
      </c>
    </row>
    <row r="5" spans="1:41" x14ac:dyDescent="0.25">
      <c r="A5" s="9" t="s">
        <v>2</v>
      </c>
      <c r="B5" s="38">
        <v>5</v>
      </c>
      <c r="C5" s="2">
        <v>3</v>
      </c>
      <c r="D5" s="2">
        <v>1</v>
      </c>
      <c r="E5" s="39">
        <v>0</v>
      </c>
      <c r="F5" s="40" t="s">
        <v>50</v>
      </c>
      <c r="G5" s="27">
        <v>16</v>
      </c>
      <c r="H5" s="38">
        <v>28</v>
      </c>
      <c r="I5" s="40">
        <v>2</v>
      </c>
      <c r="J5" s="377">
        <v>140000</v>
      </c>
      <c r="K5" s="378"/>
      <c r="L5" s="378"/>
      <c r="M5" s="379"/>
      <c r="N5" s="38">
        <v>3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40">
        <v>5</v>
      </c>
      <c r="U5" s="38">
        <v>4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40">
        <v>0</v>
      </c>
      <c r="AB5" s="38">
        <v>3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40">
        <v>0</v>
      </c>
      <c r="AI5" s="38">
        <v>3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40">
        <v>1</v>
      </c>
    </row>
    <row r="6" spans="1:41" x14ac:dyDescent="0.25">
      <c r="A6" s="9" t="s">
        <v>3</v>
      </c>
      <c r="B6" s="38">
        <v>3</v>
      </c>
      <c r="C6" s="39">
        <v>0</v>
      </c>
      <c r="D6" s="2" t="s">
        <v>50</v>
      </c>
      <c r="E6" s="2" t="s">
        <v>50</v>
      </c>
      <c r="F6" s="40" t="s">
        <v>50</v>
      </c>
      <c r="G6" s="27">
        <v>14</v>
      </c>
      <c r="H6" s="38">
        <v>22</v>
      </c>
      <c r="I6" s="40">
        <v>0</v>
      </c>
      <c r="J6" s="377">
        <v>50000</v>
      </c>
      <c r="K6" s="378"/>
      <c r="L6" s="378"/>
      <c r="M6" s="379"/>
      <c r="N6" s="38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40">
        <v>0</v>
      </c>
      <c r="U6" s="38">
        <v>2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40">
        <v>0</v>
      </c>
      <c r="AB6" s="38">
        <v>2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40">
        <v>0</v>
      </c>
      <c r="AI6" s="38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40">
        <v>0</v>
      </c>
    </row>
    <row r="7" spans="1:41" x14ac:dyDescent="0.25">
      <c r="A7" s="10" t="s">
        <v>4</v>
      </c>
      <c r="B7" s="41">
        <v>1</v>
      </c>
      <c r="C7" s="42" t="s">
        <v>50</v>
      </c>
      <c r="D7" s="42" t="s">
        <v>50</v>
      </c>
      <c r="E7" s="42" t="s">
        <v>50</v>
      </c>
      <c r="F7" s="43" t="s">
        <v>50</v>
      </c>
      <c r="G7" s="28">
        <v>12</v>
      </c>
      <c r="H7" s="41">
        <v>18</v>
      </c>
      <c r="I7" s="43">
        <v>0</v>
      </c>
      <c r="J7" s="383">
        <v>6000</v>
      </c>
      <c r="K7" s="384"/>
      <c r="L7" s="384"/>
      <c r="M7" s="385"/>
      <c r="N7" s="41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3">
        <v>0</v>
      </c>
      <c r="U7" s="41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3">
        <v>0</v>
      </c>
      <c r="AB7" s="41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3">
        <v>0</v>
      </c>
      <c r="AI7" s="41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3">
        <v>0</v>
      </c>
    </row>
    <row r="8" spans="1:41" x14ac:dyDescent="0.25">
      <c r="B8" s="44">
        <v>2</v>
      </c>
      <c r="G8" s="44">
        <v>7</v>
      </c>
      <c r="H8" s="45">
        <v>8</v>
      </c>
      <c r="J8" s="1">
        <v>10</v>
      </c>
      <c r="N8" s="1">
        <v>14</v>
      </c>
      <c r="U8" s="1">
        <v>21</v>
      </c>
      <c r="AB8" s="1">
        <v>28</v>
      </c>
      <c r="AI8" s="1">
        <v>35</v>
      </c>
    </row>
    <row r="10" spans="1:41" x14ac:dyDescent="0.25">
      <c r="A10" s="365" t="s">
        <v>82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7"/>
      <c r="W10" s="365" t="s">
        <v>83</v>
      </c>
      <c r="X10" s="366"/>
      <c r="Y10" s="366"/>
      <c r="Z10" s="366"/>
      <c r="AA10" s="366"/>
      <c r="AB10" s="366"/>
      <c r="AC10" s="366"/>
      <c r="AD10" s="367"/>
      <c r="AF10" s="365" t="s">
        <v>84</v>
      </c>
      <c r="AG10" s="366"/>
      <c r="AH10" s="366"/>
      <c r="AI10" s="366"/>
      <c r="AJ10" s="366"/>
      <c r="AK10" s="366"/>
      <c r="AL10" s="366"/>
      <c r="AM10" s="366"/>
      <c r="AN10" s="366"/>
      <c r="AO10" s="367"/>
    </row>
    <row r="11" spans="1:41" x14ac:dyDescent="0.25">
      <c r="A11" s="49"/>
      <c r="B11" s="50"/>
      <c r="C11" s="51"/>
      <c r="D11" s="279" t="s">
        <v>85</v>
      </c>
      <c r="E11" s="279"/>
      <c r="F11" s="279" t="s">
        <v>86</v>
      </c>
      <c r="G11" s="279"/>
      <c r="H11" s="279" t="s">
        <v>87</v>
      </c>
      <c r="I11" s="279"/>
      <c r="J11" s="279" t="s">
        <v>88</v>
      </c>
      <c r="K11" s="279"/>
      <c r="L11" s="279" t="s">
        <v>89</v>
      </c>
      <c r="M11" s="279"/>
      <c r="N11" s="279" t="s">
        <v>90</v>
      </c>
      <c r="O11" s="279"/>
      <c r="P11" s="279" t="s">
        <v>91</v>
      </c>
      <c r="Q11" s="279"/>
      <c r="R11" s="279" t="s">
        <v>92</v>
      </c>
      <c r="S11" s="279"/>
      <c r="T11" s="279" t="s">
        <v>93</v>
      </c>
      <c r="U11" s="309"/>
      <c r="W11" s="52" t="s">
        <v>0</v>
      </c>
      <c r="X11" s="53"/>
      <c r="Y11" s="53" t="s">
        <v>1</v>
      </c>
      <c r="Z11" s="53"/>
      <c r="AA11" s="53" t="s">
        <v>2</v>
      </c>
      <c r="AB11" s="53"/>
      <c r="AC11" s="53" t="s">
        <v>3</v>
      </c>
      <c r="AD11" s="54"/>
      <c r="AF11" s="304" t="s">
        <v>0</v>
      </c>
      <c r="AG11" s="279"/>
      <c r="AH11" s="279" t="s">
        <v>1</v>
      </c>
      <c r="AI11" s="279"/>
      <c r="AJ11" s="279" t="s">
        <v>2</v>
      </c>
      <c r="AK11" s="279"/>
      <c r="AL11" s="279" t="s">
        <v>3</v>
      </c>
      <c r="AM11" s="279"/>
      <c r="AN11" s="279" t="s">
        <v>4</v>
      </c>
      <c r="AO11" s="309"/>
    </row>
    <row r="12" spans="1:41" x14ac:dyDescent="0.25">
      <c r="A12" s="273" t="s">
        <v>67</v>
      </c>
      <c r="B12" s="386"/>
      <c r="C12" s="387"/>
      <c r="D12" s="39">
        <v>1</v>
      </c>
      <c r="E12" s="2">
        <v>6</v>
      </c>
      <c r="F12" s="38">
        <v>1</v>
      </c>
      <c r="G12" s="40">
        <v>6</v>
      </c>
      <c r="H12" s="38">
        <v>1</v>
      </c>
      <c r="I12" s="55">
        <v>6</v>
      </c>
      <c r="J12" s="38">
        <v>1</v>
      </c>
      <c r="K12" s="40">
        <v>6</v>
      </c>
      <c r="L12" s="38">
        <v>1</v>
      </c>
      <c r="M12" s="40">
        <v>6</v>
      </c>
      <c r="N12" s="38">
        <v>1</v>
      </c>
      <c r="O12" s="40">
        <v>6</v>
      </c>
      <c r="P12" s="38">
        <v>1</v>
      </c>
      <c r="Q12" s="40">
        <v>6</v>
      </c>
      <c r="R12" s="38">
        <v>1</v>
      </c>
      <c r="S12" s="40">
        <v>6</v>
      </c>
      <c r="T12" s="38">
        <v>2</v>
      </c>
      <c r="U12" s="40">
        <v>7</v>
      </c>
      <c r="W12" s="56" t="s">
        <v>94</v>
      </c>
      <c r="X12" s="57">
        <v>14</v>
      </c>
      <c r="Y12" s="56" t="s">
        <v>94</v>
      </c>
      <c r="Z12" s="57">
        <v>14</v>
      </c>
      <c r="AA12" s="56" t="s">
        <v>94</v>
      </c>
      <c r="AB12" s="57">
        <v>14</v>
      </c>
      <c r="AC12" s="56" t="s">
        <v>64</v>
      </c>
      <c r="AD12" s="57">
        <v>21</v>
      </c>
      <c r="AF12" s="56" t="s">
        <v>67</v>
      </c>
      <c r="AG12" s="37">
        <v>2</v>
      </c>
      <c r="AH12" s="56" t="s">
        <v>67</v>
      </c>
      <c r="AI12" s="37">
        <v>2</v>
      </c>
      <c r="AJ12" s="56" t="s">
        <v>67</v>
      </c>
      <c r="AK12" s="37">
        <v>2</v>
      </c>
      <c r="AL12" s="56" t="s">
        <v>67</v>
      </c>
      <c r="AM12" s="37">
        <v>2</v>
      </c>
      <c r="AN12" s="56" t="s">
        <v>67</v>
      </c>
      <c r="AO12" s="37">
        <v>2</v>
      </c>
    </row>
    <row r="13" spans="1:41" x14ac:dyDescent="0.25">
      <c r="A13" s="273" t="s">
        <v>68</v>
      </c>
      <c r="B13" s="386"/>
      <c r="C13" s="387"/>
      <c r="D13" s="2">
        <v>1</v>
      </c>
      <c r="E13" s="2">
        <v>6</v>
      </c>
      <c r="F13" s="38">
        <v>2</v>
      </c>
      <c r="G13" s="40">
        <v>7</v>
      </c>
      <c r="H13" s="38">
        <v>1</v>
      </c>
      <c r="I13" s="40">
        <v>6</v>
      </c>
      <c r="J13" s="38">
        <v>1</v>
      </c>
      <c r="K13" s="40">
        <v>6</v>
      </c>
      <c r="L13" s="38">
        <v>1</v>
      </c>
      <c r="M13" s="40">
        <v>6</v>
      </c>
      <c r="N13" s="38">
        <v>1</v>
      </c>
      <c r="O13" s="40">
        <v>6</v>
      </c>
      <c r="P13" s="38">
        <v>1</v>
      </c>
      <c r="Q13" s="40">
        <v>6</v>
      </c>
      <c r="R13" s="38">
        <v>3</v>
      </c>
      <c r="S13" s="40">
        <v>8</v>
      </c>
      <c r="T13" s="38">
        <v>1</v>
      </c>
      <c r="U13" s="40">
        <v>6</v>
      </c>
      <c r="W13" s="58" t="s">
        <v>95</v>
      </c>
      <c r="X13" s="59">
        <v>14</v>
      </c>
      <c r="Y13" s="58" t="s">
        <v>95</v>
      </c>
      <c r="Z13" s="59">
        <v>14</v>
      </c>
      <c r="AA13" s="58" t="s">
        <v>95</v>
      </c>
      <c r="AB13" s="59">
        <v>14</v>
      </c>
      <c r="AC13" s="58" t="s">
        <v>65</v>
      </c>
      <c r="AD13" s="59">
        <v>28</v>
      </c>
      <c r="AF13" s="58" t="s">
        <v>68</v>
      </c>
      <c r="AG13" s="40">
        <v>3</v>
      </c>
      <c r="AH13" s="58" t="s">
        <v>68</v>
      </c>
      <c r="AI13" s="40">
        <v>3</v>
      </c>
      <c r="AJ13" s="58" t="s">
        <v>68</v>
      </c>
      <c r="AK13" s="40">
        <v>3</v>
      </c>
      <c r="AL13" s="58" t="s">
        <v>68</v>
      </c>
      <c r="AM13" s="40">
        <v>3</v>
      </c>
      <c r="AN13" s="58"/>
      <c r="AO13" s="40"/>
    </row>
    <row r="14" spans="1:41" x14ac:dyDescent="0.25">
      <c r="A14" s="273" t="s">
        <v>69</v>
      </c>
      <c r="B14" s="386"/>
      <c r="C14" s="387"/>
      <c r="D14" s="2">
        <v>3</v>
      </c>
      <c r="E14" s="2">
        <v>8</v>
      </c>
      <c r="F14" s="38">
        <v>1</v>
      </c>
      <c r="G14" s="40">
        <v>6</v>
      </c>
      <c r="H14" s="38">
        <v>1</v>
      </c>
      <c r="I14" s="40">
        <v>5</v>
      </c>
      <c r="J14" s="38">
        <v>3</v>
      </c>
      <c r="K14" s="40">
        <v>8</v>
      </c>
      <c r="L14" s="38">
        <v>2</v>
      </c>
      <c r="M14" s="40">
        <v>7</v>
      </c>
      <c r="N14" s="38">
        <v>1</v>
      </c>
      <c r="O14" s="40">
        <v>6</v>
      </c>
      <c r="P14" s="38">
        <v>1</v>
      </c>
      <c r="Q14" s="40">
        <v>6</v>
      </c>
      <c r="R14" s="38">
        <v>1</v>
      </c>
      <c r="S14" s="40">
        <v>6</v>
      </c>
      <c r="T14" s="38">
        <v>1</v>
      </c>
      <c r="U14" s="40">
        <v>6</v>
      </c>
      <c r="W14" s="58" t="s">
        <v>66</v>
      </c>
      <c r="X14" s="59">
        <v>35</v>
      </c>
      <c r="Y14" s="58" t="s">
        <v>66</v>
      </c>
      <c r="Z14" s="59">
        <v>35</v>
      </c>
      <c r="AA14" s="58" t="s">
        <v>66</v>
      </c>
      <c r="AB14" s="59">
        <v>35</v>
      </c>
      <c r="AC14" s="58"/>
      <c r="AD14" s="59"/>
      <c r="AF14" s="58" t="s">
        <v>69</v>
      </c>
      <c r="AG14" s="40">
        <v>4</v>
      </c>
      <c r="AH14" s="58" t="s">
        <v>69</v>
      </c>
      <c r="AI14" s="40">
        <v>4</v>
      </c>
      <c r="AJ14" s="58" t="s">
        <v>69</v>
      </c>
      <c r="AK14" s="40">
        <v>4</v>
      </c>
      <c r="AL14" s="58"/>
      <c r="AM14" s="40"/>
      <c r="AN14" s="58"/>
      <c r="AO14" s="40"/>
    </row>
    <row r="15" spans="1:41" x14ac:dyDescent="0.25">
      <c r="A15" s="273" t="s">
        <v>70</v>
      </c>
      <c r="B15" s="386"/>
      <c r="C15" s="387"/>
      <c r="D15" s="2">
        <v>4</v>
      </c>
      <c r="E15" s="2">
        <v>9</v>
      </c>
      <c r="F15" s="38">
        <v>1</v>
      </c>
      <c r="G15" s="40">
        <v>6</v>
      </c>
      <c r="H15" s="38">
        <v>1</v>
      </c>
      <c r="I15" s="40">
        <v>6</v>
      </c>
      <c r="J15" s="38">
        <v>3</v>
      </c>
      <c r="K15" s="40">
        <v>8</v>
      </c>
      <c r="L15" s="38">
        <v>1</v>
      </c>
      <c r="M15" s="40">
        <v>6</v>
      </c>
      <c r="N15" s="38">
        <v>1</v>
      </c>
      <c r="O15" s="40">
        <v>5</v>
      </c>
      <c r="P15" s="38">
        <v>1</v>
      </c>
      <c r="Q15" s="40">
        <v>6</v>
      </c>
      <c r="R15" s="38">
        <v>1</v>
      </c>
      <c r="S15" s="40">
        <v>5</v>
      </c>
      <c r="T15" s="38">
        <v>1</v>
      </c>
      <c r="U15" s="40">
        <v>6</v>
      </c>
      <c r="W15" s="58"/>
      <c r="X15" s="59"/>
      <c r="Y15" s="58" t="s">
        <v>64</v>
      </c>
      <c r="Z15" s="59">
        <v>21</v>
      </c>
      <c r="AA15" s="58" t="s">
        <v>64</v>
      </c>
      <c r="AB15" s="59">
        <v>21</v>
      </c>
      <c r="AC15" s="58"/>
      <c r="AD15" s="59"/>
      <c r="AF15" s="58" t="s">
        <v>70</v>
      </c>
      <c r="AG15" s="40">
        <v>5</v>
      </c>
      <c r="AH15" s="58" t="s">
        <v>70</v>
      </c>
      <c r="AI15" s="40">
        <v>5</v>
      </c>
      <c r="AJ15" s="58" t="s">
        <v>70</v>
      </c>
      <c r="AK15" s="40">
        <v>5</v>
      </c>
      <c r="AL15" s="58"/>
      <c r="AM15" s="40"/>
      <c r="AN15" s="58"/>
      <c r="AO15" s="40"/>
    </row>
    <row r="16" spans="1:41" x14ac:dyDescent="0.25">
      <c r="A16" s="388" t="s">
        <v>71</v>
      </c>
      <c r="B16" s="344"/>
      <c r="C16" s="389"/>
      <c r="D16" s="42">
        <v>5</v>
      </c>
      <c r="E16" s="42">
        <v>10</v>
      </c>
      <c r="F16" s="41">
        <v>1</v>
      </c>
      <c r="G16" s="43">
        <v>5</v>
      </c>
      <c r="H16" s="41">
        <v>1</v>
      </c>
      <c r="I16" s="43">
        <v>6</v>
      </c>
      <c r="J16" s="41">
        <v>5</v>
      </c>
      <c r="K16" s="43">
        <v>10</v>
      </c>
      <c r="L16" s="41">
        <v>1</v>
      </c>
      <c r="M16" s="43">
        <v>6</v>
      </c>
      <c r="N16" s="41">
        <v>1</v>
      </c>
      <c r="O16" s="43">
        <v>5</v>
      </c>
      <c r="P16" s="41">
        <v>1</v>
      </c>
      <c r="Q16" s="43">
        <v>5</v>
      </c>
      <c r="R16" s="41">
        <v>1</v>
      </c>
      <c r="S16" s="43">
        <v>4</v>
      </c>
      <c r="T16" s="41">
        <v>1</v>
      </c>
      <c r="U16" s="43">
        <v>6</v>
      </c>
      <c r="W16" s="60"/>
      <c r="X16" s="61"/>
      <c r="Y16" s="60" t="s">
        <v>65</v>
      </c>
      <c r="Z16" s="61">
        <v>28</v>
      </c>
      <c r="AA16" s="60" t="s">
        <v>65</v>
      </c>
      <c r="AB16" s="61">
        <v>28</v>
      </c>
      <c r="AC16" s="60"/>
      <c r="AD16" s="61"/>
      <c r="AF16" s="60" t="s">
        <v>71</v>
      </c>
      <c r="AG16" s="43">
        <v>6</v>
      </c>
      <c r="AH16" s="60" t="s">
        <v>71</v>
      </c>
      <c r="AI16" s="43">
        <v>6</v>
      </c>
      <c r="AJ16" s="60"/>
      <c r="AK16" s="43"/>
      <c r="AL16" s="60"/>
      <c r="AM16" s="43"/>
      <c r="AN16" s="60"/>
      <c r="AO16" s="43"/>
    </row>
    <row r="17" spans="1:41" x14ac:dyDescent="0.25">
      <c r="D17" s="1">
        <v>4</v>
      </c>
      <c r="F17" s="1">
        <v>6</v>
      </c>
      <c r="H17" s="1">
        <v>8</v>
      </c>
      <c r="J17" s="1">
        <v>10</v>
      </c>
      <c r="L17" s="1">
        <v>12</v>
      </c>
      <c r="N17" s="1">
        <v>14</v>
      </c>
      <c r="P17" s="1">
        <v>16</v>
      </c>
      <c r="R17" s="1">
        <v>18</v>
      </c>
      <c r="T17" s="1">
        <v>20</v>
      </c>
      <c r="W17" s="1">
        <v>1</v>
      </c>
      <c r="Y17" s="1">
        <v>3</v>
      </c>
      <c r="AA17" s="1">
        <v>5</v>
      </c>
      <c r="AC17" s="1">
        <v>7</v>
      </c>
      <c r="AF17" s="1">
        <v>1</v>
      </c>
      <c r="AH17" s="1">
        <v>3</v>
      </c>
      <c r="AJ17" s="1">
        <v>5</v>
      </c>
      <c r="AL17" s="1">
        <v>7</v>
      </c>
      <c r="AN17" s="1">
        <v>9</v>
      </c>
    </row>
    <row r="19" spans="1:41" x14ac:dyDescent="0.25">
      <c r="A19" s="294" t="s">
        <v>96</v>
      </c>
      <c r="B19" s="295"/>
      <c r="C19" s="295"/>
      <c r="D19" s="295"/>
      <c r="E19" s="295"/>
      <c r="F19" s="296"/>
      <c r="H19" s="365" t="s">
        <v>97</v>
      </c>
      <c r="I19" s="366"/>
      <c r="J19" s="367"/>
      <c r="K19" s="76"/>
      <c r="L19" s="76"/>
      <c r="M19" s="76"/>
      <c r="N19" s="76"/>
      <c r="O19" s="76"/>
      <c r="P19" s="76"/>
      <c r="Q19" s="76"/>
    </row>
    <row r="20" spans="1:41" x14ac:dyDescent="0.25">
      <c r="A20" s="393" t="s">
        <v>6</v>
      </c>
      <c r="B20" s="359"/>
      <c r="C20" s="359"/>
      <c r="D20" s="359"/>
      <c r="E20" s="359"/>
      <c r="F20" s="360"/>
      <c r="H20" s="106" t="s">
        <v>98</v>
      </c>
      <c r="I20" s="105" t="s">
        <v>99</v>
      </c>
      <c r="J20" s="107"/>
      <c r="K20" s="76"/>
      <c r="L20" s="76"/>
      <c r="M20" s="76"/>
      <c r="N20" s="76"/>
      <c r="O20" s="76"/>
      <c r="P20" s="76"/>
      <c r="Q20" s="76"/>
    </row>
    <row r="21" spans="1:41" x14ac:dyDescent="0.25">
      <c r="A21" s="362" t="s">
        <v>11</v>
      </c>
      <c r="B21" s="358"/>
      <c r="C21" s="358"/>
      <c r="D21" s="358"/>
      <c r="E21" s="358"/>
      <c r="F21" s="361"/>
      <c r="H21" s="108" t="s">
        <v>100</v>
      </c>
      <c r="I21" s="109" t="s">
        <v>101</v>
      </c>
      <c r="J21" s="110"/>
      <c r="K21" s="76"/>
      <c r="L21" s="76"/>
      <c r="M21" s="76"/>
      <c r="N21" s="76"/>
      <c r="O21" s="76"/>
      <c r="P21" s="76"/>
      <c r="Q21" s="76"/>
    </row>
    <row r="22" spans="1:41" x14ac:dyDescent="0.25">
      <c r="A22" s="362" t="s">
        <v>25</v>
      </c>
      <c r="B22" s="358"/>
      <c r="C22" s="358"/>
      <c r="D22" s="358"/>
      <c r="E22" s="358"/>
      <c r="F22" s="361"/>
    </row>
    <row r="23" spans="1:41" x14ac:dyDescent="0.25">
      <c r="A23" s="362" t="s">
        <v>13</v>
      </c>
      <c r="B23" s="358"/>
      <c r="C23" s="358"/>
      <c r="D23" s="358"/>
      <c r="E23" s="358"/>
      <c r="F23" s="361"/>
    </row>
    <row r="24" spans="1:41" x14ac:dyDescent="0.25">
      <c r="A24" s="352" t="s">
        <v>7</v>
      </c>
      <c r="B24" s="353"/>
      <c r="C24" s="353"/>
      <c r="D24" s="353"/>
      <c r="E24" s="353"/>
      <c r="F24" s="354"/>
    </row>
    <row r="26" spans="1:41" x14ac:dyDescent="0.25">
      <c r="A26" s="365" t="s">
        <v>102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7"/>
      <c r="M26" s="365" t="s">
        <v>103</v>
      </c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7"/>
      <c r="AB26" s="390" t="s">
        <v>104</v>
      </c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2"/>
      <c r="AO26" s="68"/>
    </row>
    <row r="27" spans="1:41" x14ac:dyDescent="0.25">
      <c r="A27" s="69"/>
      <c r="B27" s="70">
        <v>2</v>
      </c>
      <c r="C27" s="70">
        <v>3</v>
      </c>
      <c r="D27" s="70">
        <v>4</v>
      </c>
      <c r="E27" s="70">
        <v>5</v>
      </c>
      <c r="F27" s="70">
        <v>6</v>
      </c>
      <c r="G27" s="70">
        <v>7</v>
      </c>
      <c r="H27" s="70">
        <v>8</v>
      </c>
      <c r="I27" s="70">
        <v>9</v>
      </c>
      <c r="J27" s="70">
        <v>10</v>
      </c>
      <c r="K27" s="71">
        <v>11</v>
      </c>
      <c r="M27" s="69"/>
      <c r="N27" s="70">
        <v>1</v>
      </c>
      <c r="O27" s="70">
        <v>2</v>
      </c>
      <c r="P27" s="70">
        <v>3</v>
      </c>
      <c r="Q27" s="70">
        <v>4</v>
      </c>
      <c r="R27" s="70">
        <v>5</v>
      </c>
      <c r="S27" s="70">
        <v>6</v>
      </c>
      <c r="T27" s="70">
        <v>7</v>
      </c>
      <c r="U27" s="70">
        <v>8</v>
      </c>
      <c r="V27" s="70">
        <v>9</v>
      </c>
      <c r="W27" s="70">
        <v>10</v>
      </c>
      <c r="X27" s="70">
        <v>11</v>
      </c>
      <c r="Y27" s="70">
        <v>12</v>
      </c>
      <c r="Z27" s="71">
        <v>13</v>
      </c>
      <c r="AB27" s="69"/>
      <c r="AC27" s="70">
        <v>1</v>
      </c>
      <c r="AD27" s="70">
        <v>2</v>
      </c>
      <c r="AE27" s="70">
        <v>3</v>
      </c>
      <c r="AF27" s="70">
        <v>4</v>
      </c>
      <c r="AG27" s="70">
        <v>5</v>
      </c>
      <c r="AH27" s="70">
        <v>6</v>
      </c>
      <c r="AI27" s="70">
        <v>7</v>
      </c>
      <c r="AJ27" s="70">
        <v>8</v>
      </c>
      <c r="AK27" s="70">
        <v>9</v>
      </c>
      <c r="AL27" s="70">
        <v>10</v>
      </c>
      <c r="AM27" s="70">
        <v>11</v>
      </c>
      <c r="AN27" s="71">
        <v>12</v>
      </c>
      <c r="AO27" s="72"/>
    </row>
    <row r="28" spans="1:41" x14ac:dyDescent="0.25">
      <c r="A28" s="69">
        <v>1</v>
      </c>
      <c r="B28" s="2">
        <v>10</v>
      </c>
      <c r="C28" s="2">
        <v>25</v>
      </c>
      <c r="D28" s="2">
        <v>45</v>
      </c>
      <c r="E28" s="2">
        <v>70</v>
      </c>
      <c r="F28" s="2">
        <v>100</v>
      </c>
      <c r="G28" s="2">
        <v>135</v>
      </c>
      <c r="H28" s="2">
        <f>G28+H34</f>
        <v>175</v>
      </c>
      <c r="I28" s="2">
        <f>H28+I35</f>
        <v>220</v>
      </c>
      <c r="J28" s="2">
        <f>I28+J36</f>
        <v>270</v>
      </c>
      <c r="K28" s="40">
        <f>J28+K37</f>
        <v>325</v>
      </c>
      <c r="M28" s="69">
        <v>0</v>
      </c>
      <c r="N28" s="2">
        <v>2</v>
      </c>
      <c r="O28" s="2">
        <v>6</v>
      </c>
      <c r="P28" s="2">
        <v>12</v>
      </c>
      <c r="Q28" s="2">
        <v>20</v>
      </c>
      <c r="R28" s="2">
        <v>30</v>
      </c>
      <c r="S28" s="2">
        <v>42</v>
      </c>
      <c r="T28" s="2">
        <v>56</v>
      </c>
      <c r="U28" s="2">
        <v>72</v>
      </c>
      <c r="V28" s="2">
        <v>90</v>
      </c>
      <c r="W28" s="2">
        <v>110</v>
      </c>
      <c r="X28" s="2">
        <v>132</v>
      </c>
      <c r="Y28" s="2">
        <v>156</v>
      </c>
      <c r="Z28" s="40">
        <v>182</v>
      </c>
      <c r="AB28" s="69">
        <v>0</v>
      </c>
      <c r="AC28" s="2">
        <v>5</v>
      </c>
      <c r="AD28" s="2">
        <v>15</v>
      </c>
      <c r="AE28" s="2">
        <v>30</v>
      </c>
      <c r="AF28" s="2">
        <v>50</v>
      </c>
      <c r="AG28" s="2">
        <v>75</v>
      </c>
      <c r="AH28" s="2">
        <v>105</v>
      </c>
      <c r="AI28" s="2">
        <v>140</v>
      </c>
      <c r="AJ28" s="2">
        <v>180</v>
      </c>
      <c r="AK28" s="2">
        <v>225</v>
      </c>
      <c r="AL28" s="2">
        <v>275</v>
      </c>
      <c r="AM28" s="2">
        <v>330</v>
      </c>
      <c r="AN28" s="40">
        <v>390</v>
      </c>
      <c r="AO28" s="39"/>
    </row>
    <row r="29" spans="1:41" x14ac:dyDescent="0.25">
      <c r="A29" s="69">
        <v>2</v>
      </c>
      <c r="B29" s="2"/>
      <c r="C29" s="2">
        <v>15</v>
      </c>
      <c r="D29" s="2">
        <v>35</v>
      </c>
      <c r="E29" s="2">
        <v>60</v>
      </c>
      <c r="F29" s="2">
        <v>90</v>
      </c>
      <c r="G29" s="2">
        <v>125</v>
      </c>
      <c r="H29" s="2">
        <v>165</v>
      </c>
      <c r="I29" s="2">
        <f>H29+I35</f>
        <v>210</v>
      </c>
      <c r="J29" s="2">
        <f>I29+J36</f>
        <v>260</v>
      </c>
      <c r="K29" s="40">
        <f>J29+K37</f>
        <v>315</v>
      </c>
      <c r="M29" s="69">
        <v>1</v>
      </c>
      <c r="N29" s="2"/>
      <c r="O29" s="2">
        <f>O28-$N$28</f>
        <v>4</v>
      </c>
      <c r="P29" s="2">
        <f t="shared" ref="P29:Z29" si="0">P28-$N$28</f>
        <v>10</v>
      </c>
      <c r="Q29" s="2">
        <f t="shared" si="0"/>
        <v>18</v>
      </c>
      <c r="R29" s="2">
        <f t="shared" si="0"/>
        <v>28</v>
      </c>
      <c r="S29" s="2">
        <f t="shared" si="0"/>
        <v>40</v>
      </c>
      <c r="T29" s="2">
        <f t="shared" si="0"/>
        <v>54</v>
      </c>
      <c r="U29" s="2">
        <f t="shared" si="0"/>
        <v>70</v>
      </c>
      <c r="V29" s="2">
        <f t="shared" si="0"/>
        <v>88</v>
      </c>
      <c r="W29" s="2">
        <f t="shared" si="0"/>
        <v>108</v>
      </c>
      <c r="X29" s="2">
        <f t="shared" si="0"/>
        <v>130</v>
      </c>
      <c r="Y29" s="2">
        <f t="shared" si="0"/>
        <v>154</v>
      </c>
      <c r="Z29" s="40">
        <f t="shared" si="0"/>
        <v>180</v>
      </c>
      <c r="AB29" s="69">
        <v>1</v>
      </c>
      <c r="AC29" s="2"/>
      <c r="AD29" s="2">
        <f>AD28-$AC$28</f>
        <v>10</v>
      </c>
      <c r="AE29" s="2">
        <f t="shared" ref="AE29:AN29" si="1">AE28-$AC$28</f>
        <v>25</v>
      </c>
      <c r="AF29" s="2">
        <f t="shared" si="1"/>
        <v>45</v>
      </c>
      <c r="AG29" s="2">
        <f t="shared" si="1"/>
        <v>70</v>
      </c>
      <c r="AH29" s="2">
        <f t="shared" si="1"/>
        <v>100</v>
      </c>
      <c r="AI29" s="2">
        <f t="shared" si="1"/>
        <v>135</v>
      </c>
      <c r="AJ29" s="2">
        <f t="shared" si="1"/>
        <v>175</v>
      </c>
      <c r="AK29" s="2">
        <f t="shared" si="1"/>
        <v>220</v>
      </c>
      <c r="AL29" s="2">
        <f t="shared" si="1"/>
        <v>270</v>
      </c>
      <c r="AM29" s="2">
        <f t="shared" si="1"/>
        <v>325</v>
      </c>
      <c r="AN29" s="40">
        <f t="shared" si="1"/>
        <v>385</v>
      </c>
      <c r="AO29" s="39"/>
    </row>
    <row r="30" spans="1:41" x14ac:dyDescent="0.25">
      <c r="A30" s="69">
        <v>3</v>
      </c>
      <c r="B30" s="2"/>
      <c r="C30" s="2"/>
      <c r="D30" s="2">
        <v>20</v>
      </c>
      <c r="E30" s="2">
        <v>45</v>
      </c>
      <c r="F30" s="2">
        <v>75</v>
      </c>
      <c r="G30" s="2">
        <v>110</v>
      </c>
      <c r="H30" s="2">
        <v>150</v>
      </c>
      <c r="I30" s="2">
        <v>195</v>
      </c>
      <c r="J30" s="2">
        <f>I30+J36</f>
        <v>245</v>
      </c>
      <c r="K30" s="40">
        <f>J30+K37</f>
        <v>300</v>
      </c>
      <c r="M30" s="69">
        <v>2</v>
      </c>
      <c r="N30" s="2"/>
      <c r="O30" s="2"/>
      <c r="P30" s="2">
        <f>P29-$O$29</f>
        <v>6</v>
      </c>
      <c r="Q30" s="2">
        <f t="shared" ref="Q30:Z30" si="2">Q29-$O$29</f>
        <v>14</v>
      </c>
      <c r="R30" s="2">
        <f t="shared" si="2"/>
        <v>24</v>
      </c>
      <c r="S30" s="2">
        <f t="shared" si="2"/>
        <v>36</v>
      </c>
      <c r="T30" s="2">
        <f t="shared" si="2"/>
        <v>50</v>
      </c>
      <c r="U30" s="2">
        <f t="shared" si="2"/>
        <v>66</v>
      </c>
      <c r="V30" s="2">
        <f t="shared" si="2"/>
        <v>84</v>
      </c>
      <c r="W30" s="2">
        <f t="shared" si="2"/>
        <v>104</v>
      </c>
      <c r="X30" s="2">
        <f t="shared" si="2"/>
        <v>126</v>
      </c>
      <c r="Y30" s="2">
        <f t="shared" si="2"/>
        <v>150</v>
      </c>
      <c r="Z30" s="40">
        <f t="shared" si="2"/>
        <v>176</v>
      </c>
      <c r="AB30" s="69">
        <v>2</v>
      </c>
      <c r="AC30" s="2"/>
      <c r="AD30" s="2"/>
      <c r="AE30" s="2">
        <f>AE29-$AD$29</f>
        <v>15</v>
      </c>
      <c r="AF30" s="2">
        <f t="shared" ref="AF30:AN30" si="3">AF29-$AD$29</f>
        <v>35</v>
      </c>
      <c r="AG30" s="2">
        <f t="shared" si="3"/>
        <v>60</v>
      </c>
      <c r="AH30" s="2">
        <f t="shared" si="3"/>
        <v>90</v>
      </c>
      <c r="AI30" s="2">
        <f t="shared" si="3"/>
        <v>125</v>
      </c>
      <c r="AJ30" s="2">
        <f t="shared" si="3"/>
        <v>165</v>
      </c>
      <c r="AK30" s="2">
        <f t="shared" si="3"/>
        <v>210</v>
      </c>
      <c r="AL30" s="2">
        <f t="shared" si="3"/>
        <v>260</v>
      </c>
      <c r="AM30" s="2">
        <f t="shared" si="3"/>
        <v>315</v>
      </c>
      <c r="AN30" s="40">
        <f t="shared" si="3"/>
        <v>375</v>
      </c>
      <c r="AO30" s="39"/>
    </row>
    <row r="31" spans="1:41" x14ac:dyDescent="0.25">
      <c r="A31" s="69">
        <v>4</v>
      </c>
      <c r="B31" s="2"/>
      <c r="C31" s="2"/>
      <c r="D31" s="2"/>
      <c r="E31" s="2">
        <v>25</v>
      </c>
      <c r="F31" s="2">
        <v>55</v>
      </c>
      <c r="G31" s="2">
        <v>90</v>
      </c>
      <c r="H31" s="2">
        <v>130</v>
      </c>
      <c r="I31" s="2">
        <v>175</v>
      </c>
      <c r="J31" s="2">
        <v>225</v>
      </c>
      <c r="K31" s="40">
        <f>J31+K37</f>
        <v>280</v>
      </c>
      <c r="M31" s="69">
        <v>3</v>
      </c>
      <c r="N31" s="2"/>
      <c r="O31" s="2"/>
      <c r="P31" s="2"/>
      <c r="Q31" s="2">
        <f>Q30-$P$30</f>
        <v>8</v>
      </c>
      <c r="R31" s="2">
        <f t="shared" ref="R31:Z31" si="4">R30-$P$30</f>
        <v>18</v>
      </c>
      <c r="S31" s="2">
        <f t="shared" si="4"/>
        <v>30</v>
      </c>
      <c r="T31" s="2">
        <f t="shared" si="4"/>
        <v>44</v>
      </c>
      <c r="U31" s="2">
        <f t="shared" si="4"/>
        <v>60</v>
      </c>
      <c r="V31" s="2">
        <f t="shared" si="4"/>
        <v>78</v>
      </c>
      <c r="W31" s="2">
        <f t="shared" si="4"/>
        <v>98</v>
      </c>
      <c r="X31" s="2">
        <f t="shared" si="4"/>
        <v>120</v>
      </c>
      <c r="Y31" s="2">
        <f t="shared" si="4"/>
        <v>144</v>
      </c>
      <c r="Z31" s="40">
        <f t="shared" si="4"/>
        <v>170</v>
      </c>
      <c r="AB31" s="69">
        <v>3</v>
      </c>
      <c r="AC31" s="2"/>
      <c r="AD31" s="2"/>
      <c r="AE31" s="2"/>
      <c r="AF31" s="2">
        <f>AF30-$AE$30</f>
        <v>20</v>
      </c>
      <c r="AG31" s="2">
        <f t="shared" ref="AG31:AN31" si="5">AG30-$AE$30</f>
        <v>45</v>
      </c>
      <c r="AH31" s="2">
        <f t="shared" si="5"/>
        <v>75</v>
      </c>
      <c r="AI31" s="2">
        <f t="shared" si="5"/>
        <v>110</v>
      </c>
      <c r="AJ31" s="2">
        <f t="shared" si="5"/>
        <v>150</v>
      </c>
      <c r="AK31" s="2">
        <f t="shared" si="5"/>
        <v>195</v>
      </c>
      <c r="AL31" s="2">
        <f t="shared" si="5"/>
        <v>245</v>
      </c>
      <c r="AM31" s="2">
        <f t="shared" si="5"/>
        <v>300</v>
      </c>
      <c r="AN31" s="40">
        <f t="shared" si="5"/>
        <v>360</v>
      </c>
      <c r="AO31" s="39"/>
    </row>
    <row r="32" spans="1:41" x14ac:dyDescent="0.25">
      <c r="A32" s="69">
        <v>5</v>
      </c>
      <c r="B32" s="2"/>
      <c r="C32" s="2"/>
      <c r="D32" s="2"/>
      <c r="E32" s="2"/>
      <c r="F32" s="2">
        <v>30</v>
      </c>
      <c r="G32" s="2">
        <v>65</v>
      </c>
      <c r="H32" s="2">
        <v>105</v>
      </c>
      <c r="I32" s="2">
        <v>150</v>
      </c>
      <c r="J32" s="2">
        <v>200</v>
      </c>
      <c r="K32" s="40">
        <v>255</v>
      </c>
      <c r="M32" s="69">
        <v>4</v>
      </c>
      <c r="N32" s="2"/>
      <c r="O32" s="2"/>
      <c r="P32" s="2"/>
      <c r="Q32" s="2"/>
      <c r="R32" s="2">
        <f>R31-$Q$31</f>
        <v>10</v>
      </c>
      <c r="S32" s="2">
        <f t="shared" ref="S32:Z32" si="6">S31-$Q$31</f>
        <v>22</v>
      </c>
      <c r="T32" s="2">
        <f t="shared" si="6"/>
        <v>36</v>
      </c>
      <c r="U32" s="2">
        <f t="shared" si="6"/>
        <v>52</v>
      </c>
      <c r="V32" s="2">
        <f t="shared" si="6"/>
        <v>70</v>
      </c>
      <c r="W32" s="2">
        <f t="shared" si="6"/>
        <v>90</v>
      </c>
      <c r="X32" s="2">
        <f t="shared" si="6"/>
        <v>112</v>
      </c>
      <c r="Y32" s="2">
        <f t="shared" si="6"/>
        <v>136</v>
      </c>
      <c r="Z32" s="40">
        <f t="shared" si="6"/>
        <v>162</v>
      </c>
      <c r="AB32" s="69">
        <v>4</v>
      </c>
      <c r="AC32" s="2"/>
      <c r="AD32" s="2"/>
      <c r="AE32" s="2"/>
      <c r="AF32" s="2"/>
      <c r="AG32" s="2">
        <f>AG31-$AF$31</f>
        <v>25</v>
      </c>
      <c r="AH32" s="2">
        <f t="shared" ref="AH32:AN32" si="7">AH31-$AF$31</f>
        <v>55</v>
      </c>
      <c r="AI32" s="2">
        <f t="shared" si="7"/>
        <v>90</v>
      </c>
      <c r="AJ32" s="2">
        <f t="shared" si="7"/>
        <v>130</v>
      </c>
      <c r="AK32" s="2">
        <f t="shared" si="7"/>
        <v>175</v>
      </c>
      <c r="AL32" s="2">
        <f t="shared" si="7"/>
        <v>225</v>
      </c>
      <c r="AM32" s="2">
        <f t="shared" si="7"/>
        <v>280</v>
      </c>
      <c r="AN32" s="40">
        <f t="shared" si="7"/>
        <v>340</v>
      </c>
      <c r="AO32" s="39"/>
    </row>
    <row r="33" spans="1:41" x14ac:dyDescent="0.25">
      <c r="A33" s="69">
        <v>6</v>
      </c>
      <c r="B33" s="2"/>
      <c r="C33" s="2"/>
      <c r="D33" s="2"/>
      <c r="E33" s="2"/>
      <c r="F33" s="2"/>
      <c r="G33" s="2">
        <v>35</v>
      </c>
      <c r="H33" s="2">
        <v>75</v>
      </c>
      <c r="I33" s="2">
        <v>120</v>
      </c>
      <c r="J33" s="2">
        <v>170</v>
      </c>
      <c r="K33" s="40">
        <v>225</v>
      </c>
      <c r="M33" s="69">
        <v>5</v>
      </c>
      <c r="N33" s="2"/>
      <c r="O33" s="2"/>
      <c r="P33" s="2"/>
      <c r="Q33" s="2"/>
      <c r="R33" s="2"/>
      <c r="S33" s="2">
        <f>S32-$R$32</f>
        <v>12</v>
      </c>
      <c r="T33" s="2">
        <f t="shared" ref="T33:Z33" si="8">T32-$R$32</f>
        <v>26</v>
      </c>
      <c r="U33" s="2">
        <f t="shared" si="8"/>
        <v>42</v>
      </c>
      <c r="V33" s="2">
        <f t="shared" si="8"/>
        <v>60</v>
      </c>
      <c r="W33" s="2">
        <f t="shared" si="8"/>
        <v>80</v>
      </c>
      <c r="X33" s="2">
        <f t="shared" si="8"/>
        <v>102</v>
      </c>
      <c r="Y33" s="2">
        <f t="shared" si="8"/>
        <v>126</v>
      </c>
      <c r="Z33" s="40">
        <f t="shared" si="8"/>
        <v>152</v>
      </c>
      <c r="AB33" s="69">
        <v>5</v>
      </c>
      <c r="AC33" s="2"/>
      <c r="AD33" s="2"/>
      <c r="AE33" s="2"/>
      <c r="AF33" s="2"/>
      <c r="AG33" s="2"/>
      <c r="AH33" s="2">
        <f>AH32-$AG$32</f>
        <v>30</v>
      </c>
      <c r="AI33" s="2">
        <f t="shared" ref="AI33:AN33" si="9">AI32-$AG$32</f>
        <v>65</v>
      </c>
      <c r="AJ33" s="2">
        <f t="shared" si="9"/>
        <v>105</v>
      </c>
      <c r="AK33" s="2">
        <f t="shared" si="9"/>
        <v>150</v>
      </c>
      <c r="AL33" s="2">
        <f t="shared" si="9"/>
        <v>200</v>
      </c>
      <c r="AM33" s="2">
        <f t="shared" si="9"/>
        <v>255</v>
      </c>
      <c r="AN33" s="40">
        <f t="shared" si="9"/>
        <v>315</v>
      </c>
      <c r="AO33" s="39"/>
    </row>
    <row r="34" spans="1:41" x14ac:dyDescent="0.25">
      <c r="A34" s="69">
        <v>7</v>
      </c>
      <c r="B34" s="2"/>
      <c r="C34" s="2"/>
      <c r="D34" s="2"/>
      <c r="E34" s="2"/>
      <c r="F34" s="2"/>
      <c r="G34" s="2"/>
      <c r="H34" s="2">
        <v>40</v>
      </c>
      <c r="I34" s="2">
        <v>85</v>
      </c>
      <c r="J34" s="2">
        <v>135</v>
      </c>
      <c r="K34" s="40">
        <v>190</v>
      </c>
      <c r="M34" s="69">
        <v>6</v>
      </c>
      <c r="N34" s="2"/>
      <c r="O34" s="2"/>
      <c r="P34" s="2"/>
      <c r="Q34" s="2"/>
      <c r="R34" s="2"/>
      <c r="S34" s="2"/>
      <c r="T34" s="2">
        <f>T33-$S$33</f>
        <v>14</v>
      </c>
      <c r="U34" s="2">
        <f t="shared" ref="U34:Z34" si="10">U33-$S$33</f>
        <v>30</v>
      </c>
      <c r="V34" s="2">
        <f t="shared" si="10"/>
        <v>48</v>
      </c>
      <c r="W34" s="2">
        <f t="shared" si="10"/>
        <v>68</v>
      </c>
      <c r="X34" s="2">
        <f t="shared" si="10"/>
        <v>90</v>
      </c>
      <c r="Y34" s="2">
        <f t="shared" si="10"/>
        <v>114</v>
      </c>
      <c r="Z34" s="40">
        <f t="shared" si="10"/>
        <v>140</v>
      </c>
      <c r="AB34" s="69">
        <v>6</v>
      </c>
      <c r="AC34" s="2"/>
      <c r="AD34" s="2"/>
      <c r="AE34" s="2"/>
      <c r="AF34" s="2"/>
      <c r="AG34" s="2"/>
      <c r="AH34" s="2"/>
      <c r="AI34" s="2">
        <f>AI33-$AH$33</f>
        <v>35</v>
      </c>
      <c r="AJ34" s="2">
        <f t="shared" ref="AJ34:AN34" si="11">AJ33-$AH$33</f>
        <v>75</v>
      </c>
      <c r="AK34" s="2">
        <f t="shared" si="11"/>
        <v>120</v>
      </c>
      <c r="AL34" s="2">
        <f t="shared" si="11"/>
        <v>170</v>
      </c>
      <c r="AM34" s="2">
        <f t="shared" si="11"/>
        <v>225</v>
      </c>
      <c r="AN34" s="40">
        <f t="shared" si="11"/>
        <v>285</v>
      </c>
      <c r="AO34" s="39"/>
    </row>
    <row r="35" spans="1:41" x14ac:dyDescent="0.25">
      <c r="A35" s="69">
        <v>8</v>
      </c>
      <c r="B35" s="2"/>
      <c r="C35" s="2"/>
      <c r="D35" s="2"/>
      <c r="E35" s="2"/>
      <c r="F35" s="2"/>
      <c r="G35" s="2"/>
      <c r="H35" s="2"/>
      <c r="I35" s="2">
        <v>45</v>
      </c>
      <c r="J35" s="2">
        <v>95</v>
      </c>
      <c r="K35" s="40">
        <v>150</v>
      </c>
      <c r="M35" s="69">
        <v>7</v>
      </c>
      <c r="N35" s="2"/>
      <c r="O35" s="2"/>
      <c r="P35" s="2"/>
      <c r="Q35" s="2"/>
      <c r="R35" s="2"/>
      <c r="S35" s="2"/>
      <c r="T35" s="2"/>
      <c r="U35" s="2">
        <f>U34-$T$34</f>
        <v>16</v>
      </c>
      <c r="V35" s="2">
        <f t="shared" ref="V35:Z35" si="12">V34-$T$34</f>
        <v>34</v>
      </c>
      <c r="W35" s="2">
        <f t="shared" si="12"/>
        <v>54</v>
      </c>
      <c r="X35" s="2">
        <f t="shared" si="12"/>
        <v>76</v>
      </c>
      <c r="Y35" s="2">
        <f t="shared" si="12"/>
        <v>100</v>
      </c>
      <c r="Z35" s="40">
        <f t="shared" si="12"/>
        <v>126</v>
      </c>
      <c r="AB35" s="69">
        <v>7</v>
      </c>
      <c r="AC35" s="2"/>
      <c r="AD35" s="2"/>
      <c r="AE35" s="2"/>
      <c r="AF35" s="2"/>
      <c r="AG35" s="2"/>
      <c r="AH35" s="2"/>
      <c r="AI35" s="2"/>
      <c r="AJ35" s="2">
        <f>AJ34-$AI$34</f>
        <v>40</v>
      </c>
      <c r="AK35" s="2">
        <f t="shared" ref="AK35:AN35" si="13">AK34-$AI$34</f>
        <v>85</v>
      </c>
      <c r="AL35" s="2">
        <f t="shared" si="13"/>
        <v>135</v>
      </c>
      <c r="AM35" s="2">
        <f t="shared" si="13"/>
        <v>190</v>
      </c>
      <c r="AN35" s="40">
        <f t="shared" si="13"/>
        <v>250</v>
      </c>
      <c r="AO35" s="39"/>
    </row>
    <row r="36" spans="1:41" x14ac:dyDescent="0.25">
      <c r="A36" s="69">
        <v>9</v>
      </c>
      <c r="B36" s="2"/>
      <c r="C36" s="2"/>
      <c r="D36" s="2"/>
      <c r="E36" s="2"/>
      <c r="F36" s="2"/>
      <c r="G36" s="2"/>
      <c r="H36" s="2"/>
      <c r="I36" s="2"/>
      <c r="J36" s="2">
        <v>50</v>
      </c>
      <c r="K36" s="40">
        <v>105</v>
      </c>
      <c r="M36" s="69">
        <v>8</v>
      </c>
      <c r="N36" s="2"/>
      <c r="O36" s="2"/>
      <c r="P36" s="2"/>
      <c r="Q36" s="2"/>
      <c r="R36" s="2"/>
      <c r="S36" s="2"/>
      <c r="T36" s="2"/>
      <c r="U36" s="2"/>
      <c r="V36" s="2">
        <f>V35-$U$35</f>
        <v>18</v>
      </c>
      <c r="W36" s="2">
        <f t="shared" ref="W36:Z36" si="14">W35-$U$35</f>
        <v>38</v>
      </c>
      <c r="X36" s="2">
        <f t="shared" si="14"/>
        <v>60</v>
      </c>
      <c r="Y36" s="2">
        <f t="shared" si="14"/>
        <v>84</v>
      </c>
      <c r="Z36" s="40">
        <f t="shared" si="14"/>
        <v>110</v>
      </c>
      <c r="AB36" s="69">
        <v>8</v>
      </c>
      <c r="AC36" s="2"/>
      <c r="AD36" s="2"/>
      <c r="AE36" s="2"/>
      <c r="AF36" s="2"/>
      <c r="AG36" s="2"/>
      <c r="AH36" s="2"/>
      <c r="AI36" s="2"/>
      <c r="AJ36" s="2"/>
      <c r="AK36" s="2">
        <f>AK35-$AJ$35</f>
        <v>45</v>
      </c>
      <c r="AL36" s="2">
        <f t="shared" ref="AL36:AN36" si="15">AL35-$AJ$35</f>
        <v>95</v>
      </c>
      <c r="AM36" s="2">
        <f t="shared" si="15"/>
        <v>150</v>
      </c>
      <c r="AN36" s="40">
        <f t="shared" si="15"/>
        <v>210</v>
      </c>
      <c r="AO36" s="39"/>
    </row>
    <row r="37" spans="1:41" x14ac:dyDescent="0.25">
      <c r="A37" s="52">
        <v>10</v>
      </c>
      <c r="B37" s="42"/>
      <c r="C37" s="42"/>
      <c r="D37" s="42"/>
      <c r="E37" s="42"/>
      <c r="F37" s="42"/>
      <c r="G37" s="42"/>
      <c r="H37" s="42"/>
      <c r="I37" s="42"/>
      <c r="J37" s="42"/>
      <c r="K37" s="43">
        <v>55</v>
      </c>
      <c r="M37" s="69">
        <v>9</v>
      </c>
      <c r="N37" s="2"/>
      <c r="O37" s="2"/>
      <c r="P37" s="2"/>
      <c r="Q37" s="2"/>
      <c r="R37" s="2"/>
      <c r="S37" s="2"/>
      <c r="T37" s="2"/>
      <c r="U37" s="2"/>
      <c r="V37" s="2"/>
      <c r="W37" s="2">
        <f>W36-$V$36</f>
        <v>20</v>
      </c>
      <c r="X37" s="2">
        <f t="shared" ref="X37:Z37" si="16">X36-$V$36</f>
        <v>42</v>
      </c>
      <c r="Y37" s="2">
        <f t="shared" si="16"/>
        <v>66</v>
      </c>
      <c r="Z37" s="40">
        <f t="shared" si="16"/>
        <v>92</v>
      </c>
      <c r="AB37" s="69">
        <v>9</v>
      </c>
      <c r="AC37" s="2"/>
      <c r="AD37" s="2"/>
      <c r="AE37" s="2"/>
      <c r="AF37" s="2"/>
      <c r="AG37" s="2"/>
      <c r="AH37" s="2"/>
      <c r="AI37" s="2"/>
      <c r="AJ37" s="2"/>
      <c r="AK37" s="2"/>
      <c r="AL37" s="2">
        <f>AL36-$AK$36</f>
        <v>50</v>
      </c>
      <c r="AM37" s="2">
        <f t="shared" ref="AM37:AN37" si="17">AM36-$AK$36</f>
        <v>105</v>
      </c>
      <c r="AN37" s="40">
        <f t="shared" si="17"/>
        <v>165</v>
      </c>
      <c r="AO37" s="39"/>
    </row>
    <row r="38" spans="1:41" x14ac:dyDescent="0.25">
      <c r="A38" s="73"/>
      <c r="M38" s="69">
        <v>10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f>X37-$W$37</f>
        <v>22</v>
      </c>
      <c r="Y38" s="2">
        <f t="shared" ref="Y38:Z38" si="18">Y37-$W$37</f>
        <v>46</v>
      </c>
      <c r="Z38" s="40">
        <f t="shared" si="18"/>
        <v>72</v>
      </c>
      <c r="AB38" s="69">
        <v>10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>
        <f>AM37-$AL$37</f>
        <v>55</v>
      </c>
      <c r="AN38" s="40">
        <f t="shared" ref="AN38" si="19">AN37-$AL$37</f>
        <v>115</v>
      </c>
      <c r="AO38" s="39"/>
    </row>
    <row r="39" spans="1:41" x14ac:dyDescent="0.25">
      <c r="M39" s="69">
        <v>11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f>Y38-$X$38</f>
        <v>24</v>
      </c>
      <c r="Z39" s="40">
        <f>Z38-$X$38</f>
        <v>50</v>
      </c>
      <c r="AB39" s="52">
        <v>11</v>
      </c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3">
        <f>AN38-$AM$38</f>
        <v>60</v>
      </c>
      <c r="AO39" s="39"/>
    </row>
    <row r="40" spans="1:41" x14ac:dyDescent="0.25">
      <c r="M40" s="52">
        <v>12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>
        <f>Z39-Y39</f>
        <v>26</v>
      </c>
      <c r="AB40" s="72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2" spans="1:41" x14ac:dyDescent="0.25">
      <c r="A42" s="390" t="s">
        <v>105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2"/>
      <c r="O42" s="394" t="s">
        <v>106</v>
      </c>
      <c r="P42" s="395"/>
      <c r="R42" s="365" t="s">
        <v>107</v>
      </c>
      <c r="S42" s="366"/>
      <c r="T42" s="366"/>
      <c r="U42" s="366"/>
      <c r="V42" s="367"/>
      <c r="X42" s="14" t="s">
        <v>108</v>
      </c>
      <c r="Y42" s="14" t="s">
        <v>109</v>
      </c>
      <c r="AA42" s="94" t="s">
        <v>363</v>
      </c>
      <c r="AB42" s="95"/>
      <c r="AC42" s="95"/>
      <c r="AD42" s="96"/>
      <c r="AF42" s="155" t="s">
        <v>416</v>
      </c>
      <c r="AG42" s="156"/>
      <c r="AH42" s="156"/>
      <c r="AI42" s="156"/>
      <c r="AJ42" s="156"/>
      <c r="AK42" s="156"/>
      <c r="AL42" s="157"/>
    </row>
    <row r="43" spans="1:41" x14ac:dyDescent="0.25">
      <c r="A43" s="69"/>
      <c r="B43" s="70">
        <v>1</v>
      </c>
      <c r="C43" s="70">
        <v>2</v>
      </c>
      <c r="D43" s="70">
        <v>3</v>
      </c>
      <c r="E43" s="70">
        <v>4</v>
      </c>
      <c r="F43" s="70">
        <v>5</v>
      </c>
      <c r="G43" s="70">
        <v>6</v>
      </c>
      <c r="H43" s="70">
        <v>7</v>
      </c>
      <c r="I43" s="70">
        <v>8</v>
      </c>
      <c r="J43" s="70">
        <v>9</v>
      </c>
      <c r="K43" s="70">
        <v>10</v>
      </c>
      <c r="L43" s="70">
        <v>11</v>
      </c>
      <c r="M43" s="71">
        <v>12</v>
      </c>
      <c r="O43" s="35">
        <v>1</v>
      </c>
      <c r="P43" s="37">
        <f>10+(O43*3)</f>
        <v>13</v>
      </c>
      <c r="Q43" s="74"/>
      <c r="R43" s="362" t="s">
        <v>110</v>
      </c>
      <c r="S43" s="358"/>
      <c r="T43" s="378">
        <v>0</v>
      </c>
      <c r="U43" s="378"/>
      <c r="V43" s="379"/>
      <c r="X43" s="56" t="s">
        <v>111</v>
      </c>
      <c r="Y43" s="37">
        <v>3</v>
      </c>
      <c r="AA43" s="97" t="s">
        <v>364</v>
      </c>
      <c r="AB43" s="98"/>
      <c r="AC43" s="98"/>
      <c r="AD43" s="99"/>
      <c r="AF43" s="158" t="s">
        <v>415</v>
      </c>
      <c r="AG43" s="159"/>
      <c r="AH43" s="159"/>
      <c r="AI43" s="359">
        <v>1</v>
      </c>
      <c r="AJ43" s="359"/>
      <c r="AK43" s="359">
        <v>1</v>
      </c>
      <c r="AL43" s="360"/>
    </row>
    <row r="44" spans="1:41" x14ac:dyDescent="0.25">
      <c r="A44" s="69">
        <v>0</v>
      </c>
      <c r="B44" s="2">
        <v>1</v>
      </c>
      <c r="C44" s="2">
        <v>3</v>
      </c>
      <c r="D44" s="2">
        <v>6</v>
      </c>
      <c r="E44" s="2">
        <v>10</v>
      </c>
      <c r="F44" s="2">
        <v>15</v>
      </c>
      <c r="G44" s="2">
        <v>21</v>
      </c>
      <c r="H44" s="2">
        <v>28</v>
      </c>
      <c r="I44" s="2">
        <v>36</v>
      </c>
      <c r="J44" s="2">
        <v>45</v>
      </c>
      <c r="K44" s="2">
        <v>55</v>
      </c>
      <c r="L44" s="2">
        <v>66</v>
      </c>
      <c r="M44" s="40">
        <v>78</v>
      </c>
      <c r="O44" s="38">
        <v>2</v>
      </c>
      <c r="P44" s="40">
        <f>10+(O44*3)+P43</f>
        <v>29</v>
      </c>
      <c r="Q44" s="74"/>
      <c r="R44" s="362" t="s">
        <v>112</v>
      </c>
      <c r="S44" s="358"/>
      <c r="T44" s="378">
        <v>500</v>
      </c>
      <c r="U44" s="378"/>
      <c r="V44" s="379"/>
      <c r="X44" s="58" t="s">
        <v>113</v>
      </c>
      <c r="Y44" s="40">
        <v>3</v>
      </c>
      <c r="AA44" s="97" t="s">
        <v>365</v>
      </c>
      <c r="AB44" s="98"/>
      <c r="AC44" s="98"/>
      <c r="AD44" s="99"/>
      <c r="AF44" s="160" t="s">
        <v>417</v>
      </c>
      <c r="AG44" s="161"/>
      <c r="AH44" s="161"/>
      <c r="AI44" s="358">
        <v>0.8</v>
      </c>
      <c r="AJ44" s="358"/>
      <c r="AK44" s="358">
        <v>1.2</v>
      </c>
      <c r="AL44" s="361"/>
    </row>
    <row r="45" spans="1:41" x14ac:dyDescent="0.25">
      <c r="A45" s="69">
        <v>1</v>
      </c>
      <c r="B45" s="2"/>
      <c r="C45" s="2">
        <f>C44-$B$44</f>
        <v>2</v>
      </c>
      <c r="D45" s="2">
        <f t="shared" ref="D45:M45" si="20">D44-$B$44</f>
        <v>5</v>
      </c>
      <c r="E45" s="2">
        <f t="shared" si="20"/>
        <v>9</v>
      </c>
      <c r="F45" s="2">
        <f t="shared" si="20"/>
        <v>14</v>
      </c>
      <c r="G45" s="2">
        <f t="shared" si="20"/>
        <v>20</v>
      </c>
      <c r="H45" s="2">
        <f t="shared" si="20"/>
        <v>27</v>
      </c>
      <c r="I45" s="2">
        <f t="shared" si="20"/>
        <v>35</v>
      </c>
      <c r="J45" s="2">
        <f t="shared" si="20"/>
        <v>44</v>
      </c>
      <c r="K45" s="2">
        <f t="shared" si="20"/>
        <v>54</v>
      </c>
      <c r="L45" s="2">
        <f t="shared" si="20"/>
        <v>65</v>
      </c>
      <c r="M45" s="40">
        <f t="shared" si="20"/>
        <v>77</v>
      </c>
      <c r="O45" s="38">
        <v>3</v>
      </c>
      <c r="P45" s="40">
        <f t="shared" ref="P45:P52" si="21">10+(O45*3)+P44</f>
        <v>48</v>
      </c>
      <c r="Q45" s="74"/>
      <c r="R45" s="362" t="s">
        <v>114</v>
      </c>
      <c r="S45" s="358"/>
      <c r="T45" s="378">
        <v>2000</v>
      </c>
      <c r="U45" s="378"/>
      <c r="V45" s="379"/>
      <c r="X45" s="58" t="s">
        <v>115</v>
      </c>
      <c r="Y45" s="40">
        <v>6</v>
      </c>
      <c r="AA45" s="97" t="s">
        <v>366</v>
      </c>
      <c r="AB45" s="98"/>
      <c r="AC45" s="98"/>
      <c r="AD45" s="99"/>
      <c r="AF45" s="160" t="s">
        <v>418</v>
      </c>
      <c r="AG45" s="161"/>
      <c r="AH45" s="161"/>
      <c r="AI45" s="358">
        <v>0.7</v>
      </c>
      <c r="AJ45" s="358"/>
      <c r="AK45" s="358">
        <v>1.5</v>
      </c>
      <c r="AL45" s="361"/>
    </row>
    <row r="46" spans="1:41" x14ac:dyDescent="0.25">
      <c r="A46" s="69">
        <v>2</v>
      </c>
      <c r="B46" s="2"/>
      <c r="C46" s="2"/>
      <c r="D46" s="2">
        <f>D45-$C$45</f>
        <v>3</v>
      </c>
      <c r="E46" s="2">
        <f t="shared" ref="E46:M46" si="22">E45-$C$45</f>
        <v>7</v>
      </c>
      <c r="F46" s="2">
        <f t="shared" si="22"/>
        <v>12</v>
      </c>
      <c r="G46" s="2">
        <f t="shared" si="22"/>
        <v>18</v>
      </c>
      <c r="H46" s="2">
        <f t="shared" si="22"/>
        <v>25</v>
      </c>
      <c r="I46" s="2">
        <f t="shared" si="22"/>
        <v>33</v>
      </c>
      <c r="J46" s="2">
        <f t="shared" si="22"/>
        <v>42</v>
      </c>
      <c r="K46" s="2">
        <f t="shared" si="22"/>
        <v>52</v>
      </c>
      <c r="L46" s="2">
        <f t="shared" si="22"/>
        <v>63</v>
      </c>
      <c r="M46" s="40">
        <f t="shared" si="22"/>
        <v>75</v>
      </c>
      <c r="O46" s="38">
        <v>4</v>
      </c>
      <c r="P46" s="40">
        <f t="shared" si="21"/>
        <v>70</v>
      </c>
      <c r="Q46" s="74"/>
      <c r="R46" s="362" t="s">
        <v>116</v>
      </c>
      <c r="S46" s="358"/>
      <c r="T46" s="378">
        <v>5000</v>
      </c>
      <c r="U46" s="378"/>
      <c r="V46" s="379"/>
      <c r="X46" s="58" t="s">
        <v>117</v>
      </c>
      <c r="Y46" s="40">
        <v>2</v>
      </c>
      <c r="AA46" s="97" t="s">
        <v>367</v>
      </c>
      <c r="AB46" s="98"/>
      <c r="AC46" s="98"/>
      <c r="AD46" s="99"/>
      <c r="AF46" s="160" t="s">
        <v>419</v>
      </c>
      <c r="AG46" s="161"/>
      <c r="AH46" s="161"/>
      <c r="AI46" s="358">
        <v>0.5</v>
      </c>
      <c r="AJ46" s="358"/>
      <c r="AK46" s="358">
        <v>2.5</v>
      </c>
      <c r="AL46" s="361"/>
    </row>
    <row r="47" spans="1:41" x14ac:dyDescent="0.25">
      <c r="A47" s="69">
        <v>3</v>
      </c>
      <c r="B47" s="2"/>
      <c r="C47" s="2"/>
      <c r="D47" s="2"/>
      <c r="E47" s="2">
        <f>E46-$D$46</f>
        <v>4</v>
      </c>
      <c r="F47" s="2">
        <f t="shared" ref="F47:M47" si="23">F46-$D$46</f>
        <v>9</v>
      </c>
      <c r="G47" s="2">
        <f t="shared" si="23"/>
        <v>15</v>
      </c>
      <c r="H47" s="2">
        <f t="shared" si="23"/>
        <v>22</v>
      </c>
      <c r="I47" s="2">
        <f t="shared" si="23"/>
        <v>30</v>
      </c>
      <c r="J47" s="2">
        <f t="shared" si="23"/>
        <v>39</v>
      </c>
      <c r="K47" s="2">
        <f t="shared" si="23"/>
        <v>49</v>
      </c>
      <c r="L47" s="2">
        <f t="shared" si="23"/>
        <v>60</v>
      </c>
      <c r="M47" s="40">
        <f t="shared" si="23"/>
        <v>72</v>
      </c>
      <c r="O47" s="38">
        <v>5</v>
      </c>
      <c r="P47" s="40">
        <f t="shared" si="21"/>
        <v>95</v>
      </c>
      <c r="Q47" s="74"/>
      <c r="R47" s="362" t="s">
        <v>118</v>
      </c>
      <c r="S47" s="358"/>
      <c r="T47" s="378">
        <v>10000</v>
      </c>
      <c r="U47" s="378"/>
      <c r="V47" s="379"/>
      <c r="X47" s="58" t="s">
        <v>119</v>
      </c>
      <c r="Y47" s="40">
        <v>2</v>
      </c>
      <c r="AA47" s="97" t="s">
        <v>368</v>
      </c>
      <c r="AB47" s="98"/>
      <c r="AC47" s="98"/>
      <c r="AD47" s="99"/>
      <c r="AF47" s="162" t="s">
        <v>420</v>
      </c>
      <c r="AG47" s="163"/>
      <c r="AH47" s="163"/>
      <c r="AI47" s="353">
        <v>1.25</v>
      </c>
      <c r="AJ47" s="353"/>
      <c r="AK47" s="353">
        <v>0.75</v>
      </c>
      <c r="AL47" s="354"/>
    </row>
    <row r="48" spans="1:41" x14ac:dyDescent="0.25">
      <c r="A48" s="69">
        <v>4</v>
      </c>
      <c r="B48" s="2"/>
      <c r="C48" s="2"/>
      <c r="D48" s="2"/>
      <c r="E48" s="2"/>
      <c r="F48" s="2">
        <f>F47-$E$47</f>
        <v>5</v>
      </c>
      <c r="G48" s="2">
        <f t="shared" ref="G48:M48" si="24">G47-$E$47</f>
        <v>11</v>
      </c>
      <c r="H48" s="2">
        <f t="shared" si="24"/>
        <v>18</v>
      </c>
      <c r="I48" s="2">
        <f t="shared" si="24"/>
        <v>26</v>
      </c>
      <c r="J48" s="2">
        <f t="shared" si="24"/>
        <v>35</v>
      </c>
      <c r="K48" s="2">
        <f t="shared" si="24"/>
        <v>45</v>
      </c>
      <c r="L48" s="2">
        <f t="shared" si="24"/>
        <v>56</v>
      </c>
      <c r="M48" s="40">
        <f t="shared" si="24"/>
        <v>68</v>
      </c>
      <c r="O48" s="38">
        <v>6</v>
      </c>
      <c r="P48" s="40">
        <f t="shared" si="21"/>
        <v>123</v>
      </c>
      <c r="Q48" s="74"/>
      <c r="R48" s="352" t="s">
        <v>120</v>
      </c>
      <c r="S48" s="353"/>
      <c r="T48" s="384">
        <v>100000</v>
      </c>
      <c r="U48" s="384"/>
      <c r="V48" s="385"/>
      <c r="X48" s="58" t="s">
        <v>121</v>
      </c>
      <c r="Y48" s="40">
        <v>2</v>
      </c>
      <c r="AA48" s="97" t="s">
        <v>369</v>
      </c>
      <c r="AB48" s="98"/>
      <c r="AC48" s="98"/>
      <c r="AD48" s="99"/>
      <c r="AI48" s="1">
        <v>4</v>
      </c>
      <c r="AK48" s="1">
        <v>6</v>
      </c>
    </row>
    <row r="49" spans="1:37" x14ac:dyDescent="0.25">
      <c r="A49" s="69">
        <v>5</v>
      </c>
      <c r="B49" s="2"/>
      <c r="C49" s="2"/>
      <c r="D49" s="2"/>
      <c r="E49" s="2"/>
      <c r="F49" s="2"/>
      <c r="G49" s="2">
        <f>G48-$F$48</f>
        <v>6</v>
      </c>
      <c r="H49" s="2">
        <f t="shared" ref="H49:M49" si="25">H48-$F$48</f>
        <v>13</v>
      </c>
      <c r="I49" s="2">
        <f t="shared" si="25"/>
        <v>21</v>
      </c>
      <c r="J49" s="2">
        <f t="shared" si="25"/>
        <v>30</v>
      </c>
      <c r="K49" s="2">
        <f t="shared" si="25"/>
        <v>40</v>
      </c>
      <c r="L49" s="2">
        <f t="shared" si="25"/>
        <v>51</v>
      </c>
      <c r="M49" s="40">
        <f t="shared" si="25"/>
        <v>63</v>
      </c>
      <c r="O49" s="38">
        <v>7</v>
      </c>
      <c r="P49" s="40">
        <f t="shared" si="21"/>
        <v>154</v>
      </c>
      <c r="Q49" s="74"/>
      <c r="R49" s="1">
        <v>1</v>
      </c>
      <c r="T49" s="1">
        <v>3</v>
      </c>
      <c r="X49" s="60" t="s">
        <v>122</v>
      </c>
      <c r="Y49" s="43">
        <v>3</v>
      </c>
      <c r="AA49" s="97" t="s">
        <v>370</v>
      </c>
      <c r="AB49" s="98"/>
      <c r="AC49" s="98"/>
      <c r="AD49" s="99"/>
    </row>
    <row r="50" spans="1:37" x14ac:dyDescent="0.25">
      <c r="A50" s="69">
        <v>6</v>
      </c>
      <c r="B50" s="2"/>
      <c r="C50" s="2"/>
      <c r="D50" s="2"/>
      <c r="E50" s="2"/>
      <c r="F50" s="2"/>
      <c r="G50" s="2"/>
      <c r="H50" s="2">
        <f>H49-$G$49</f>
        <v>7</v>
      </c>
      <c r="I50" s="2">
        <f t="shared" ref="I50:M50" si="26">I49-$G$49</f>
        <v>15</v>
      </c>
      <c r="J50" s="2">
        <f t="shared" si="26"/>
        <v>24</v>
      </c>
      <c r="K50" s="2">
        <f t="shared" si="26"/>
        <v>34</v>
      </c>
      <c r="L50" s="2">
        <f t="shared" si="26"/>
        <v>45</v>
      </c>
      <c r="M50" s="40">
        <f t="shared" si="26"/>
        <v>57</v>
      </c>
      <c r="O50" s="38">
        <v>8</v>
      </c>
      <c r="P50" s="40">
        <f t="shared" si="21"/>
        <v>188</v>
      </c>
      <c r="Q50" s="74"/>
      <c r="AA50" s="97" t="s">
        <v>371</v>
      </c>
      <c r="AB50" s="98"/>
      <c r="AC50" s="98"/>
      <c r="AD50" s="99"/>
    </row>
    <row r="51" spans="1:37" x14ac:dyDescent="0.25">
      <c r="A51" s="69">
        <v>7</v>
      </c>
      <c r="B51" s="2"/>
      <c r="C51" s="2"/>
      <c r="D51" s="2"/>
      <c r="E51" s="2"/>
      <c r="F51" s="2"/>
      <c r="G51" s="2"/>
      <c r="H51" s="2"/>
      <c r="I51" s="2">
        <f>I50-$H$50</f>
        <v>8</v>
      </c>
      <c r="J51" s="2">
        <f t="shared" ref="J51:M51" si="27">J50-$H$50</f>
        <v>17</v>
      </c>
      <c r="K51" s="2">
        <f t="shared" si="27"/>
        <v>27</v>
      </c>
      <c r="L51" s="2">
        <f t="shared" si="27"/>
        <v>38</v>
      </c>
      <c r="M51" s="40">
        <f t="shared" si="27"/>
        <v>50</v>
      </c>
      <c r="O51" s="38">
        <v>9</v>
      </c>
      <c r="P51" s="40">
        <f t="shared" si="21"/>
        <v>225</v>
      </c>
      <c r="Q51" s="74"/>
      <c r="AA51" s="100" t="s">
        <v>372</v>
      </c>
      <c r="AB51" s="101"/>
      <c r="AC51" s="101"/>
      <c r="AD51" s="102"/>
    </row>
    <row r="52" spans="1:37" x14ac:dyDescent="0.25">
      <c r="A52" s="69">
        <v>8</v>
      </c>
      <c r="B52" s="2"/>
      <c r="C52" s="2"/>
      <c r="D52" s="2"/>
      <c r="E52" s="2"/>
      <c r="F52" s="2"/>
      <c r="G52" s="2"/>
      <c r="H52" s="2"/>
      <c r="I52" s="2"/>
      <c r="J52" s="2">
        <f>J51-$I$51</f>
        <v>9</v>
      </c>
      <c r="K52" s="2">
        <f t="shared" ref="K52:M52" si="28">K51-$I$51</f>
        <v>19</v>
      </c>
      <c r="L52" s="2">
        <f t="shared" si="28"/>
        <v>30</v>
      </c>
      <c r="M52" s="40">
        <f t="shared" si="28"/>
        <v>42</v>
      </c>
      <c r="O52" s="41">
        <v>10</v>
      </c>
      <c r="P52" s="43">
        <f t="shared" si="21"/>
        <v>265</v>
      </c>
      <c r="Q52" s="74"/>
      <c r="R52" s="1" t="s">
        <v>494</v>
      </c>
    </row>
    <row r="53" spans="1:37" x14ac:dyDescent="0.25">
      <c r="A53" s="69">
        <v>9</v>
      </c>
      <c r="B53" s="2"/>
      <c r="C53" s="2"/>
      <c r="D53" s="2"/>
      <c r="E53" s="2"/>
      <c r="F53" s="2"/>
      <c r="G53" s="2"/>
      <c r="H53" s="2"/>
      <c r="I53" s="2"/>
      <c r="J53" s="2"/>
      <c r="K53" s="2">
        <f>K52-$J$52</f>
        <v>10</v>
      </c>
      <c r="L53" s="2">
        <f t="shared" ref="L53:M53" si="29">L52-$J$52</f>
        <v>21</v>
      </c>
      <c r="M53" s="40">
        <f t="shared" si="29"/>
        <v>33</v>
      </c>
      <c r="R53" s="1" t="s">
        <v>484</v>
      </c>
    </row>
    <row r="54" spans="1:37" x14ac:dyDescent="0.25">
      <c r="A54" s="69">
        <v>10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>
        <f>L53-$K$53</f>
        <v>11</v>
      </c>
      <c r="M54" s="40">
        <f>M53-$K$53</f>
        <v>23</v>
      </c>
      <c r="R54" s="1" t="s">
        <v>495</v>
      </c>
    </row>
    <row r="55" spans="1:37" x14ac:dyDescent="0.25">
      <c r="A55" s="52">
        <v>11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>
        <f>M54-$L$54</f>
        <v>12</v>
      </c>
    </row>
    <row r="57" spans="1:37" x14ac:dyDescent="0.25">
      <c r="A57" s="132" t="s">
        <v>7</v>
      </c>
      <c r="B57" s="132" t="s">
        <v>9</v>
      </c>
      <c r="C57" s="131"/>
      <c r="D57" s="138"/>
      <c r="E57" s="131"/>
      <c r="F57" s="131"/>
      <c r="G57" s="131"/>
      <c r="I57" s="46" t="s">
        <v>6</v>
      </c>
      <c r="J57" s="47"/>
      <c r="K57" s="48"/>
      <c r="M57" s="365" t="s">
        <v>228</v>
      </c>
      <c r="N57" s="366"/>
      <c r="O57" s="367"/>
      <c r="Q57" s="175" t="s">
        <v>468</v>
      </c>
      <c r="R57" s="176"/>
      <c r="S57" s="176"/>
      <c r="T57" s="176"/>
      <c r="U57" s="176"/>
      <c r="V57" s="177"/>
      <c r="W57" s="123"/>
      <c r="X57" s="175" t="s">
        <v>469</v>
      </c>
      <c r="Y57" s="176"/>
      <c r="Z57" s="176"/>
      <c r="AA57" s="176"/>
      <c r="AB57" s="177"/>
      <c r="AC57" s="186" t="s">
        <v>333</v>
      </c>
      <c r="AD57" s="175" t="s">
        <v>470</v>
      </c>
      <c r="AE57" s="176"/>
      <c r="AF57" s="176"/>
      <c r="AG57" s="177"/>
      <c r="AH57" s="186" t="s">
        <v>471</v>
      </c>
      <c r="AI57" s="363" t="s">
        <v>232</v>
      </c>
      <c r="AJ57" s="272"/>
      <c r="AK57" s="364"/>
    </row>
    <row r="58" spans="1:37" x14ac:dyDescent="0.25">
      <c r="A58" s="123" t="s">
        <v>290</v>
      </c>
      <c r="B58" s="123" t="s">
        <v>99</v>
      </c>
      <c r="C58" s="139"/>
      <c r="D58" s="138"/>
      <c r="E58" s="139"/>
      <c r="F58" s="139"/>
      <c r="G58" s="139"/>
      <c r="I58" s="62" t="s">
        <v>190</v>
      </c>
      <c r="J58" s="63"/>
      <c r="K58" s="64"/>
      <c r="M58" s="86" t="s">
        <v>222</v>
      </c>
      <c r="N58" s="87"/>
      <c r="O58" s="88"/>
      <c r="Q58" s="173" t="s">
        <v>440</v>
      </c>
      <c r="R58" s="174"/>
      <c r="S58" s="174"/>
      <c r="T58" s="174"/>
      <c r="U58" s="174" t="s">
        <v>277</v>
      </c>
      <c r="V58" s="178"/>
      <c r="W58" s="123"/>
      <c r="X58" s="362" t="s">
        <v>472</v>
      </c>
      <c r="Y58" s="358"/>
      <c r="Z58" s="358"/>
      <c r="AA58" s="358"/>
      <c r="AB58" s="361"/>
      <c r="AC58" s="27">
        <v>1</v>
      </c>
      <c r="AD58" s="38">
        <v>4</v>
      </c>
      <c r="AE58" s="2">
        <v>3</v>
      </c>
      <c r="AF58" s="2">
        <v>2</v>
      </c>
      <c r="AG58" s="40">
        <v>1</v>
      </c>
      <c r="AH58" s="27">
        <v>1</v>
      </c>
      <c r="AI58" s="368">
        <v>49500</v>
      </c>
      <c r="AJ58" s="369"/>
      <c r="AK58" s="370"/>
    </row>
    <row r="59" spans="1:37" x14ac:dyDescent="0.25">
      <c r="A59" s="139" t="s">
        <v>281</v>
      </c>
      <c r="B59" s="139" t="s">
        <v>11</v>
      </c>
      <c r="C59" s="139"/>
      <c r="D59" s="138"/>
      <c r="E59" s="139"/>
      <c r="F59" s="139"/>
      <c r="G59" s="139"/>
      <c r="I59" s="62" t="s">
        <v>191</v>
      </c>
      <c r="J59" s="63"/>
      <c r="K59" s="64"/>
      <c r="M59" s="86" t="s">
        <v>223</v>
      </c>
      <c r="N59" s="87"/>
      <c r="O59" s="88"/>
      <c r="Q59" s="173" t="s">
        <v>443</v>
      </c>
      <c r="R59" s="174"/>
      <c r="S59" s="174"/>
      <c r="T59" s="174"/>
      <c r="U59" s="174" t="s">
        <v>277</v>
      </c>
      <c r="V59" s="178"/>
      <c r="W59" s="123"/>
      <c r="X59" s="362" t="s">
        <v>473</v>
      </c>
      <c r="Y59" s="358"/>
      <c r="Z59" s="358"/>
      <c r="AA59" s="358"/>
      <c r="AB59" s="361"/>
      <c r="AC59" s="27">
        <v>1</v>
      </c>
      <c r="AD59" s="38">
        <v>4</v>
      </c>
      <c r="AE59" s="2">
        <v>3</v>
      </c>
      <c r="AF59" s="2">
        <v>3</v>
      </c>
      <c r="AG59" s="40">
        <v>1</v>
      </c>
      <c r="AH59" s="27">
        <v>1</v>
      </c>
      <c r="AI59" s="368">
        <v>58000</v>
      </c>
      <c r="AJ59" s="369"/>
      <c r="AK59" s="370"/>
    </row>
    <row r="60" spans="1:37" x14ac:dyDescent="0.25">
      <c r="A60" s="123" t="s">
        <v>321</v>
      </c>
      <c r="B60" s="123" t="s">
        <v>101</v>
      </c>
      <c r="C60" s="139"/>
      <c r="D60" s="138"/>
      <c r="E60" s="139"/>
      <c r="F60" s="139"/>
      <c r="G60" s="139"/>
      <c r="I60" s="62" t="s">
        <v>192</v>
      </c>
      <c r="J60" s="63"/>
      <c r="K60" s="64"/>
      <c r="M60" s="86" t="s">
        <v>224</v>
      </c>
      <c r="N60" s="87"/>
      <c r="O60" s="88"/>
      <c r="Q60" s="173" t="s">
        <v>446</v>
      </c>
      <c r="R60" s="174"/>
      <c r="S60" s="174"/>
      <c r="T60" s="174"/>
      <c r="U60" s="174" t="s">
        <v>277</v>
      </c>
      <c r="V60" s="178"/>
      <c r="W60" s="123"/>
      <c r="X60" s="362" t="s">
        <v>474</v>
      </c>
      <c r="Y60" s="358"/>
      <c r="Z60" s="358"/>
      <c r="AA60" s="358"/>
      <c r="AB60" s="361"/>
      <c r="AC60" s="27">
        <v>2</v>
      </c>
      <c r="AD60" s="38">
        <v>5</v>
      </c>
      <c r="AE60" s="2">
        <v>4</v>
      </c>
      <c r="AF60" s="2">
        <v>3</v>
      </c>
      <c r="AG60" s="40">
        <v>2</v>
      </c>
      <c r="AH60" s="27">
        <v>2</v>
      </c>
      <c r="AI60" s="368">
        <v>110250</v>
      </c>
      <c r="AJ60" s="369"/>
      <c r="AK60" s="370"/>
    </row>
    <row r="61" spans="1:37" x14ac:dyDescent="0.25">
      <c r="A61" s="139" t="s">
        <v>324</v>
      </c>
      <c r="B61" s="139" t="s">
        <v>99</v>
      </c>
      <c r="C61" s="139"/>
      <c r="D61" s="138"/>
      <c r="E61" s="139"/>
      <c r="F61" s="139"/>
      <c r="G61" s="139"/>
      <c r="I61" s="62" t="s">
        <v>193</v>
      </c>
      <c r="J61" s="63"/>
      <c r="K61" s="64"/>
      <c r="M61" s="86" t="s">
        <v>225</v>
      </c>
      <c r="N61" s="87"/>
      <c r="O61" s="88"/>
      <c r="Q61" s="173" t="s">
        <v>449</v>
      </c>
      <c r="R61" s="174"/>
      <c r="S61" s="174"/>
      <c r="T61" s="174"/>
      <c r="U61" s="174" t="s">
        <v>277</v>
      </c>
      <c r="V61" s="178"/>
      <c r="W61" s="123"/>
      <c r="X61" s="362" t="s">
        <v>475</v>
      </c>
      <c r="Y61" s="358"/>
      <c r="Z61" s="358"/>
      <c r="AA61" s="358"/>
      <c r="AB61" s="361"/>
      <c r="AC61" s="27">
        <v>2</v>
      </c>
      <c r="AD61" s="38">
        <v>5</v>
      </c>
      <c r="AE61" s="2">
        <v>4</v>
      </c>
      <c r="AF61" s="2">
        <v>4</v>
      </c>
      <c r="AG61" s="40">
        <v>2</v>
      </c>
      <c r="AH61" s="27">
        <v>2</v>
      </c>
      <c r="AI61" s="368">
        <v>123000</v>
      </c>
      <c r="AJ61" s="369"/>
      <c r="AK61" s="370"/>
    </row>
    <row r="62" spans="1:37" x14ac:dyDescent="0.25">
      <c r="A62" s="139" t="s">
        <v>306</v>
      </c>
      <c r="B62" s="139" t="s">
        <v>191</v>
      </c>
      <c r="C62" s="139"/>
      <c r="D62" s="138"/>
      <c r="E62" s="139"/>
      <c r="F62" s="139"/>
      <c r="G62" s="139"/>
      <c r="I62" s="62" t="s">
        <v>194</v>
      </c>
      <c r="J62" s="63"/>
      <c r="K62" s="64"/>
      <c r="M62" s="86" t="s">
        <v>226</v>
      </c>
      <c r="N62" s="87"/>
      <c r="O62" s="88"/>
      <c r="Q62" s="173" t="s">
        <v>451</v>
      </c>
      <c r="R62" s="174"/>
      <c r="S62" s="174"/>
      <c r="T62" s="174"/>
      <c r="U62" s="174" t="s">
        <v>277</v>
      </c>
      <c r="V62" s="178"/>
      <c r="W62" s="123"/>
      <c r="X62" s="362" t="s">
        <v>476</v>
      </c>
      <c r="Y62" s="358"/>
      <c r="Z62" s="358"/>
      <c r="AA62" s="358"/>
      <c r="AB62" s="361"/>
      <c r="AC62" s="27">
        <v>3</v>
      </c>
      <c r="AD62" s="38">
        <v>6</v>
      </c>
      <c r="AE62" s="2">
        <v>5</v>
      </c>
      <c r="AF62" s="2">
        <v>4</v>
      </c>
      <c r="AG62" s="40">
        <v>3</v>
      </c>
      <c r="AH62" s="27">
        <v>3</v>
      </c>
      <c r="AI62" s="368">
        <v>205750</v>
      </c>
      <c r="AJ62" s="369"/>
      <c r="AK62" s="370"/>
    </row>
    <row r="63" spans="1:37" x14ac:dyDescent="0.25">
      <c r="A63" s="123" t="s">
        <v>325</v>
      </c>
      <c r="B63" s="123" t="s">
        <v>99</v>
      </c>
      <c r="C63" s="139"/>
      <c r="D63" s="138"/>
      <c r="E63" s="139"/>
      <c r="F63" s="139"/>
      <c r="G63" s="139"/>
      <c r="I63" s="62" t="s">
        <v>99</v>
      </c>
      <c r="J63" s="63"/>
      <c r="K63" s="64"/>
      <c r="M63" s="84" t="s">
        <v>227</v>
      </c>
      <c r="N63" s="85"/>
      <c r="O63" s="89"/>
      <c r="Q63" s="173" t="s">
        <v>453</v>
      </c>
      <c r="R63" s="174"/>
      <c r="S63" s="174"/>
      <c r="T63" s="174"/>
      <c r="U63" s="174" t="s">
        <v>477</v>
      </c>
      <c r="V63" s="178"/>
      <c r="W63" s="123"/>
      <c r="X63" s="362" t="s">
        <v>438</v>
      </c>
      <c r="Y63" s="358"/>
      <c r="Z63" s="358"/>
      <c r="AA63" s="358"/>
      <c r="AB63" s="361"/>
      <c r="AC63" s="27">
        <v>3</v>
      </c>
      <c r="AD63" s="38">
        <v>6</v>
      </c>
      <c r="AE63" s="2">
        <v>5</v>
      </c>
      <c r="AF63" s="2">
        <v>5</v>
      </c>
      <c r="AG63" s="40">
        <v>3</v>
      </c>
      <c r="AH63" s="27">
        <v>3</v>
      </c>
      <c r="AI63" s="368">
        <v>214125</v>
      </c>
      <c r="AJ63" s="369"/>
      <c r="AK63" s="370"/>
    </row>
    <row r="64" spans="1:37" x14ac:dyDescent="0.25">
      <c r="A64" s="139" t="s">
        <v>282</v>
      </c>
      <c r="B64" s="139" t="s">
        <v>11</v>
      </c>
      <c r="C64" s="139"/>
      <c r="D64" s="138"/>
      <c r="E64" s="139"/>
      <c r="F64" s="139"/>
      <c r="G64" s="139"/>
      <c r="I64" s="62" t="s">
        <v>195</v>
      </c>
      <c r="J64" s="63"/>
      <c r="K64" s="64"/>
      <c r="Q64" s="173" t="s">
        <v>455</v>
      </c>
      <c r="R64" s="174"/>
      <c r="S64" s="174"/>
      <c r="T64" s="174"/>
      <c r="U64" s="174" t="s">
        <v>477</v>
      </c>
      <c r="V64" s="178"/>
      <c r="W64" s="123"/>
      <c r="X64" s="362" t="s">
        <v>478</v>
      </c>
      <c r="Y64" s="358"/>
      <c r="Z64" s="358"/>
      <c r="AA64" s="358"/>
      <c r="AB64" s="361"/>
      <c r="AC64" s="27">
        <v>4</v>
      </c>
      <c r="AD64" s="38">
        <v>7</v>
      </c>
      <c r="AE64" s="2">
        <v>6</v>
      </c>
      <c r="AF64" s="2">
        <v>5</v>
      </c>
      <c r="AG64" s="40">
        <v>4</v>
      </c>
      <c r="AH64" s="27">
        <v>4</v>
      </c>
      <c r="AI64" s="368">
        <v>345000</v>
      </c>
      <c r="AJ64" s="369"/>
      <c r="AK64" s="370"/>
    </row>
    <row r="65" spans="1:37" x14ac:dyDescent="0.25">
      <c r="A65" s="123" t="s">
        <v>336</v>
      </c>
      <c r="B65" s="123" t="s">
        <v>195</v>
      </c>
      <c r="C65" s="139"/>
      <c r="D65" s="138"/>
      <c r="E65" s="139"/>
      <c r="F65" s="139"/>
      <c r="G65" s="139"/>
      <c r="I65" s="65" t="s">
        <v>101</v>
      </c>
      <c r="J65" s="66"/>
      <c r="K65" s="67"/>
      <c r="Q65" s="173" t="s">
        <v>457</v>
      </c>
      <c r="R65" s="174"/>
      <c r="S65" s="174"/>
      <c r="T65" s="174"/>
      <c r="U65" s="174" t="s">
        <v>277</v>
      </c>
      <c r="V65" s="178"/>
      <c r="W65" s="123"/>
      <c r="X65" s="362" t="s">
        <v>479</v>
      </c>
      <c r="Y65" s="358"/>
      <c r="Z65" s="358"/>
      <c r="AA65" s="358"/>
      <c r="AB65" s="361"/>
      <c r="AC65" s="27">
        <v>5</v>
      </c>
      <c r="AD65" s="38">
        <v>8</v>
      </c>
      <c r="AE65" s="2">
        <v>7</v>
      </c>
      <c r="AF65" s="2">
        <v>6</v>
      </c>
      <c r="AG65" s="40">
        <v>5</v>
      </c>
      <c r="AH65" s="27">
        <v>5</v>
      </c>
      <c r="AI65" s="368">
        <v>549375</v>
      </c>
      <c r="AJ65" s="369"/>
      <c r="AK65" s="370"/>
    </row>
    <row r="66" spans="1:37" x14ac:dyDescent="0.25">
      <c r="A66" s="138" t="s">
        <v>337</v>
      </c>
      <c r="B66" s="138" t="s">
        <v>195</v>
      </c>
      <c r="C66" s="139"/>
      <c r="D66" s="138"/>
      <c r="E66" s="139"/>
      <c r="F66" s="139"/>
      <c r="G66" s="139"/>
      <c r="Q66" s="173" t="s">
        <v>459</v>
      </c>
      <c r="R66" s="174"/>
      <c r="S66" s="174"/>
      <c r="T66" s="174"/>
      <c r="U66" s="174" t="s">
        <v>277</v>
      </c>
      <c r="V66" s="178"/>
      <c r="W66" s="123"/>
      <c r="X66" s="352" t="s">
        <v>480</v>
      </c>
      <c r="Y66" s="353"/>
      <c r="Z66" s="353"/>
      <c r="AA66" s="353"/>
      <c r="AB66" s="354"/>
      <c r="AC66" s="28">
        <v>6</v>
      </c>
      <c r="AD66" s="41">
        <v>9</v>
      </c>
      <c r="AE66" s="42">
        <v>8</v>
      </c>
      <c r="AF66" s="42">
        <v>7</v>
      </c>
      <c r="AG66" s="43">
        <v>6</v>
      </c>
      <c r="AH66" s="28">
        <v>6</v>
      </c>
      <c r="AI66" s="371">
        <v>823250</v>
      </c>
      <c r="AJ66" s="372"/>
      <c r="AK66" s="373"/>
    </row>
    <row r="67" spans="1:37" x14ac:dyDescent="0.25">
      <c r="A67" s="138" t="s">
        <v>330</v>
      </c>
      <c r="B67" s="138" t="s">
        <v>194</v>
      </c>
      <c r="C67" s="139"/>
      <c r="D67" s="138"/>
      <c r="E67" s="139"/>
      <c r="F67" s="139"/>
      <c r="G67" s="139"/>
      <c r="Q67" s="173" t="s">
        <v>460</v>
      </c>
      <c r="R67" s="174"/>
      <c r="S67" s="174"/>
      <c r="T67" s="174"/>
      <c r="U67" s="174" t="s">
        <v>277</v>
      </c>
      <c r="V67" s="178"/>
      <c r="W67" s="123"/>
      <c r="X67" s="123"/>
      <c r="Y67" s="123"/>
      <c r="Z67" s="123"/>
      <c r="AA67" s="123"/>
      <c r="AB67" s="123"/>
      <c r="AC67" s="123">
        <v>6</v>
      </c>
      <c r="AD67" s="123">
        <v>7</v>
      </c>
      <c r="AE67" s="123"/>
      <c r="AF67" s="123"/>
      <c r="AG67" s="123"/>
      <c r="AH67" s="123">
        <v>11</v>
      </c>
      <c r="AI67" s="123">
        <v>12</v>
      </c>
      <c r="AJ67" s="123"/>
      <c r="AK67" s="123"/>
    </row>
    <row r="68" spans="1:37" x14ac:dyDescent="0.25">
      <c r="A68" s="139" t="s">
        <v>284</v>
      </c>
      <c r="B68" s="139" t="s">
        <v>191</v>
      </c>
      <c r="C68" s="139"/>
      <c r="D68" s="138"/>
      <c r="E68" s="139"/>
      <c r="F68" s="139"/>
      <c r="G68" s="139"/>
      <c r="Q68" s="173" t="s">
        <v>462</v>
      </c>
      <c r="R68" s="174"/>
      <c r="S68" s="174"/>
      <c r="T68" s="174"/>
      <c r="U68" s="174" t="s">
        <v>477</v>
      </c>
      <c r="V68" s="178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</row>
    <row r="69" spans="1:37" x14ac:dyDescent="0.25">
      <c r="A69" s="123" t="s">
        <v>291</v>
      </c>
      <c r="B69" s="123" t="s">
        <v>99</v>
      </c>
      <c r="C69" s="139"/>
      <c r="D69" s="138"/>
      <c r="E69" s="139"/>
      <c r="F69" s="139"/>
      <c r="G69" s="139"/>
      <c r="Q69" s="173" t="s">
        <v>464</v>
      </c>
      <c r="R69" s="174"/>
      <c r="S69" s="174"/>
      <c r="T69" s="174"/>
      <c r="U69" s="174" t="s">
        <v>477</v>
      </c>
      <c r="V69" s="178"/>
      <c r="W69" s="123"/>
      <c r="X69" s="365" t="s">
        <v>571</v>
      </c>
      <c r="Y69" s="366"/>
      <c r="Z69" s="366"/>
      <c r="AA69" s="366"/>
      <c r="AB69" s="366"/>
      <c r="AC69" s="366"/>
      <c r="AD69" s="367"/>
      <c r="AE69" s="186" t="s">
        <v>333</v>
      </c>
      <c r="AF69" s="201" t="s">
        <v>573</v>
      </c>
      <c r="AG69" s="201" t="s">
        <v>574</v>
      </c>
      <c r="AH69" s="363" t="s">
        <v>232</v>
      </c>
      <c r="AI69" s="272"/>
      <c r="AJ69" s="364"/>
      <c r="AK69" s="123"/>
    </row>
    <row r="70" spans="1:37" x14ac:dyDescent="0.25">
      <c r="A70" s="138" t="s">
        <v>272</v>
      </c>
      <c r="B70" s="138" t="s">
        <v>11</v>
      </c>
      <c r="C70" s="139"/>
      <c r="D70" s="138"/>
      <c r="E70" s="139"/>
      <c r="F70" s="139"/>
      <c r="G70" s="139"/>
      <c r="Q70" s="173" t="s">
        <v>466</v>
      </c>
      <c r="R70" s="174"/>
      <c r="S70" s="174"/>
      <c r="T70" s="174"/>
      <c r="U70" s="174" t="s">
        <v>277</v>
      </c>
      <c r="V70" s="178"/>
      <c r="W70" s="123"/>
      <c r="X70" s="362" t="s">
        <v>575</v>
      </c>
      <c r="Y70" s="358"/>
      <c r="Z70" s="358"/>
      <c r="AA70" s="358"/>
      <c r="AB70" s="358"/>
      <c r="AC70" s="358"/>
      <c r="AD70" s="361"/>
      <c r="AE70" s="27">
        <v>1</v>
      </c>
      <c r="AF70" s="27">
        <v>3</v>
      </c>
      <c r="AG70" s="27">
        <v>2</v>
      </c>
      <c r="AH70" s="350">
        <v>1400</v>
      </c>
      <c r="AI70" s="236"/>
      <c r="AJ70" s="351"/>
      <c r="AK70" s="123"/>
    </row>
    <row r="71" spans="1:37" x14ac:dyDescent="0.25">
      <c r="A71" s="138" t="s">
        <v>273</v>
      </c>
      <c r="B71" s="138" t="s">
        <v>11</v>
      </c>
      <c r="C71" s="139"/>
      <c r="D71" s="138"/>
      <c r="E71" s="139"/>
      <c r="F71" s="139"/>
      <c r="G71" s="139"/>
      <c r="Q71" s="173" t="s">
        <v>441</v>
      </c>
      <c r="R71" s="174"/>
      <c r="S71" s="174"/>
      <c r="T71" s="174"/>
      <c r="U71" s="174" t="s">
        <v>277</v>
      </c>
      <c r="V71" s="178"/>
      <c r="W71" s="123"/>
      <c r="X71" s="362" t="s">
        <v>576</v>
      </c>
      <c r="Y71" s="358"/>
      <c r="Z71" s="358"/>
      <c r="AA71" s="358"/>
      <c r="AB71" s="358"/>
      <c r="AC71" s="358"/>
      <c r="AD71" s="361"/>
      <c r="AE71" s="27">
        <v>2</v>
      </c>
      <c r="AF71" s="27">
        <v>3</v>
      </c>
      <c r="AG71" s="27">
        <v>3</v>
      </c>
      <c r="AH71" s="350">
        <v>8000</v>
      </c>
      <c r="AI71" s="236"/>
      <c r="AJ71" s="351"/>
      <c r="AK71" s="123"/>
    </row>
    <row r="72" spans="1:37" x14ac:dyDescent="0.25">
      <c r="A72" s="123" t="s">
        <v>326</v>
      </c>
      <c r="B72" s="123" t="s">
        <v>99</v>
      </c>
      <c r="C72" s="139"/>
      <c r="D72" s="138"/>
      <c r="E72" s="139"/>
      <c r="F72" s="139"/>
      <c r="G72" s="139"/>
      <c r="Q72" s="173" t="s">
        <v>444</v>
      </c>
      <c r="R72" s="174"/>
      <c r="S72" s="174"/>
      <c r="T72" s="174"/>
      <c r="U72" s="174" t="s">
        <v>277</v>
      </c>
      <c r="V72" s="178"/>
      <c r="W72" s="123"/>
      <c r="X72" s="362" t="s">
        <v>577</v>
      </c>
      <c r="Y72" s="358"/>
      <c r="Z72" s="358"/>
      <c r="AA72" s="358"/>
      <c r="AB72" s="358"/>
      <c r="AC72" s="358"/>
      <c r="AD72" s="361"/>
      <c r="AE72" s="27">
        <v>3</v>
      </c>
      <c r="AF72" s="27">
        <v>4</v>
      </c>
      <c r="AG72" s="27">
        <v>4</v>
      </c>
      <c r="AH72" s="350">
        <v>16000</v>
      </c>
      <c r="AI72" s="236"/>
      <c r="AJ72" s="351"/>
      <c r="AK72" s="123"/>
    </row>
    <row r="73" spans="1:37" x14ac:dyDescent="0.25">
      <c r="A73" s="139" t="s">
        <v>269</v>
      </c>
      <c r="B73" s="139" t="s">
        <v>191</v>
      </c>
      <c r="C73" s="139"/>
      <c r="D73" s="138"/>
      <c r="E73" s="139"/>
      <c r="F73" s="139"/>
      <c r="G73" s="139"/>
      <c r="Q73" s="173" t="s">
        <v>447</v>
      </c>
      <c r="R73" s="174"/>
      <c r="S73" s="174"/>
      <c r="T73" s="174"/>
      <c r="U73" s="174" t="s">
        <v>277</v>
      </c>
      <c r="V73" s="178"/>
      <c r="W73" s="123"/>
      <c r="X73" s="362" t="s">
        <v>578</v>
      </c>
      <c r="Y73" s="358"/>
      <c r="Z73" s="358"/>
      <c r="AA73" s="358"/>
      <c r="AB73" s="358"/>
      <c r="AC73" s="358"/>
      <c r="AD73" s="361"/>
      <c r="AE73" s="27">
        <v>4</v>
      </c>
      <c r="AF73" s="27">
        <v>5</v>
      </c>
      <c r="AG73" s="27">
        <v>4</v>
      </c>
      <c r="AH73" s="350">
        <v>32000</v>
      </c>
      <c r="AI73" s="236"/>
      <c r="AJ73" s="351"/>
      <c r="AK73" s="123"/>
    </row>
    <row r="74" spans="1:37" x14ac:dyDescent="0.25">
      <c r="A74" s="123" t="s">
        <v>327</v>
      </c>
      <c r="B74" s="123" t="s">
        <v>99</v>
      </c>
      <c r="C74" s="139"/>
      <c r="D74" s="138"/>
      <c r="E74" s="139"/>
      <c r="F74" s="139"/>
      <c r="G74" s="139"/>
      <c r="Q74" s="173" t="s">
        <v>450</v>
      </c>
      <c r="R74" s="174"/>
      <c r="S74" s="174"/>
      <c r="T74" s="174"/>
      <c r="U74" s="174" t="s">
        <v>277</v>
      </c>
      <c r="V74" s="178"/>
      <c r="W74" s="123"/>
      <c r="X74" s="362" t="s">
        <v>579</v>
      </c>
      <c r="Y74" s="358"/>
      <c r="Z74" s="358"/>
      <c r="AA74" s="358"/>
      <c r="AB74" s="358"/>
      <c r="AC74" s="358"/>
      <c r="AD74" s="361"/>
      <c r="AE74" s="27">
        <v>4</v>
      </c>
      <c r="AF74" s="27">
        <v>4</v>
      </c>
      <c r="AG74" s="27">
        <v>5</v>
      </c>
      <c r="AH74" s="350">
        <v>34000</v>
      </c>
      <c r="AI74" s="236"/>
      <c r="AJ74" s="351"/>
      <c r="AK74" s="123"/>
    </row>
    <row r="75" spans="1:37" x14ac:dyDescent="0.25">
      <c r="A75" s="139" t="s">
        <v>270</v>
      </c>
      <c r="B75" s="139" t="s">
        <v>191</v>
      </c>
      <c r="C75" s="139"/>
      <c r="D75" s="138"/>
      <c r="E75" s="139"/>
      <c r="F75" s="139"/>
      <c r="G75" s="139"/>
      <c r="Q75" s="173" t="s">
        <v>452</v>
      </c>
      <c r="R75" s="174"/>
      <c r="S75" s="174"/>
      <c r="T75" s="174"/>
      <c r="U75" s="174" t="s">
        <v>277</v>
      </c>
      <c r="V75" s="178"/>
      <c r="W75" s="123"/>
      <c r="X75" s="362" t="s">
        <v>580</v>
      </c>
      <c r="Y75" s="358"/>
      <c r="Z75" s="358"/>
      <c r="AA75" s="358"/>
      <c r="AB75" s="358"/>
      <c r="AC75" s="358"/>
      <c r="AD75" s="361"/>
      <c r="AE75" s="27">
        <v>5</v>
      </c>
      <c r="AF75" s="27">
        <v>3</v>
      </c>
      <c r="AG75" s="27">
        <v>4</v>
      </c>
      <c r="AH75" s="350">
        <v>64000</v>
      </c>
      <c r="AI75" s="236"/>
      <c r="AJ75" s="351"/>
      <c r="AK75" s="123"/>
    </row>
    <row r="76" spans="1:37" x14ac:dyDescent="0.25">
      <c r="A76" s="138" t="s">
        <v>303</v>
      </c>
      <c r="B76" s="138" t="s">
        <v>234</v>
      </c>
      <c r="C76" s="139"/>
      <c r="D76" s="138"/>
      <c r="E76" s="139"/>
      <c r="F76" s="139"/>
      <c r="G76" s="139"/>
      <c r="Q76" s="173" t="s">
        <v>454</v>
      </c>
      <c r="R76" s="174"/>
      <c r="S76" s="174"/>
      <c r="T76" s="174"/>
      <c r="U76" s="174" t="s">
        <v>277</v>
      </c>
      <c r="V76" s="178"/>
      <c r="W76" s="123"/>
      <c r="X76" s="362" t="s">
        <v>581</v>
      </c>
      <c r="Y76" s="358"/>
      <c r="Z76" s="358"/>
      <c r="AA76" s="358"/>
      <c r="AB76" s="358"/>
      <c r="AC76" s="358"/>
      <c r="AD76" s="361"/>
      <c r="AE76" s="27">
        <v>5</v>
      </c>
      <c r="AF76" s="27">
        <v>5</v>
      </c>
      <c r="AG76" s="27">
        <v>6</v>
      </c>
      <c r="AH76" s="350">
        <v>66000</v>
      </c>
      <c r="AI76" s="236"/>
      <c r="AJ76" s="351"/>
      <c r="AK76" s="123"/>
    </row>
    <row r="77" spans="1:37" x14ac:dyDescent="0.25">
      <c r="A77" s="123" t="s">
        <v>278</v>
      </c>
      <c r="B77" s="123" t="s">
        <v>99</v>
      </c>
      <c r="C77" s="139"/>
      <c r="D77" s="138"/>
      <c r="E77" s="139"/>
      <c r="F77" s="139"/>
      <c r="G77" s="139"/>
      <c r="Q77" s="173" t="s">
        <v>456</v>
      </c>
      <c r="R77" s="174"/>
      <c r="S77" s="174"/>
      <c r="T77" s="174"/>
      <c r="U77" s="174" t="s">
        <v>477</v>
      </c>
      <c r="V77" s="178"/>
      <c r="W77" s="123"/>
      <c r="X77" s="362" t="s">
        <v>582</v>
      </c>
      <c r="Y77" s="358"/>
      <c r="Z77" s="358"/>
      <c r="AA77" s="358"/>
      <c r="AB77" s="358"/>
      <c r="AC77" s="358"/>
      <c r="AD77" s="361"/>
      <c r="AE77" s="27">
        <v>5</v>
      </c>
      <c r="AF77" s="27">
        <v>5</v>
      </c>
      <c r="AG77" s="27">
        <v>6</v>
      </c>
      <c r="AH77" s="350">
        <v>68000</v>
      </c>
      <c r="AI77" s="236"/>
      <c r="AJ77" s="351"/>
      <c r="AK77" s="123"/>
    </row>
    <row r="78" spans="1:37" x14ac:dyDescent="0.25">
      <c r="A78" s="139" t="s">
        <v>260</v>
      </c>
      <c r="B78" s="139" t="s">
        <v>101</v>
      </c>
      <c r="C78" s="139"/>
      <c r="D78" s="138"/>
      <c r="E78" s="139"/>
      <c r="F78" s="139"/>
      <c r="G78" s="139"/>
      <c r="Q78" s="173" t="s">
        <v>458</v>
      </c>
      <c r="R78" s="174"/>
      <c r="S78" s="174"/>
      <c r="T78" s="174"/>
      <c r="U78" s="174" t="s">
        <v>277</v>
      </c>
      <c r="V78" s="178"/>
      <c r="W78" s="123"/>
      <c r="X78" s="362" t="s">
        <v>572</v>
      </c>
      <c r="Y78" s="358"/>
      <c r="Z78" s="358"/>
      <c r="AA78" s="358"/>
      <c r="AB78" s="358"/>
      <c r="AC78" s="358"/>
      <c r="AD78" s="361"/>
      <c r="AE78" s="27">
        <v>6</v>
      </c>
      <c r="AF78" s="27">
        <v>6</v>
      </c>
      <c r="AG78" s="27">
        <v>5</v>
      </c>
      <c r="AH78" s="350">
        <v>75000</v>
      </c>
      <c r="AI78" s="236"/>
      <c r="AJ78" s="351"/>
      <c r="AK78" s="123"/>
    </row>
    <row r="79" spans="1:37" x14ac:dyDescent="0.25">
      <c r="A79" s="138" t="s">
        <v>297</v>
      </c>
      <c r="B79" s="138" t="s">
        <v>11</v>
      </c>
      <c r="C79" s="139"/>
      <c r="D79" s="138"/>
      <c r="E79" s="139"/>
      <c r="F79" s="139"/>
      <c r="G79" s="139"/>
      <c r="Q79" s="173" t="s">
        <v>258</v>
      </c>
      <c r="R79" s="174"/>
      <c r="S79" s="174"/>
      <c r="T79" s="174"/>
      <c r="U79" s="174" t="s">
        <v>277</v>
      </c>
      <c r="V79" s="178"/>
      <c r="W79" s="123"/>
      <c r="X79" s="362" t="s">
        <v>583</v>
      </c>
      <c r="Y79" s="358"/>
      <c r="Z79" s="358"/>
      <c r="AA79" s="358"/>
      <c r="AB79" s="358"/>
      <c r="AC79" s="358"/>
      <c r="AD79" s="361"/>
      <c r="AE79" s="27">
        <v>6</v>
      </c>
      <c r="AF79" s="27">
        <v>7</v>
      </c>
      <c r="AG79" s="27">
        <v>6</v>
      </c>
      <c r="AH79" s="350">
        <v>95000</v>
      </c>
      <c r="AI79" s="236"/>
      <c r="AJ79" s="351"/>
      <c r="AK79" s="123"/>
    </row>
    <row r="80" spans="1:37" x14ac:dyDescent="0.25">
      <c r="A80" s="123" t="s">
        <v>266</v>
      </c>
      <c r="B80" s="123" t="s">
        <v>99</v>
      </c>
      <c r="C80" s="139"/>
      <c r="D80" s="138"/>
      <c r="E80" s="139"/>
      <c r="F80" s="139"/>
      <c r="G80" s="139"/>
      <c r="Q80" s="173" t="s">
        <v>461</v>
      </c>
      <c r="R80" s="174"/>
      <c r="S80" s="174"/>
      <c r="T80" s="174"/>
      <c r="U80" s="174" t="s">
        <v>477</v>
      </c>
      <c r="V80" s="178"/>
      <c r="W80" s="123"/>
      <c r="X80" s="352" t="s">
        <v>584</v>
      </c>
      <c r="Y80" s="353"/>
      <c r="Z80" s="353"/>
      <c r="AA80" s="353"/>
      <c r="AB80" s="353"/>
      <c r="AC80" s="353"/>
      <c r="AD80" s="354"/>
      <c r="AE80" s="28">
        <v>6</v>
      </c>
      <c r="AF80" s="28">
        <v>8</v>
      </c>
      <c r="AG80" s="28">
        <v>7</v>
      </c>
      <c r="AH80" s="355">
        <v>140000</v>
      </c>
      <c r="AI80" s="356"/>
      <c r="AJ80" s="357"/>
      <c r="AK80" s="123"/>
    </row>
    <row r="81" spans="1:37" x14ac:dyDescent="0.25">
      <c r="A81" s="123" t="s">
        <v>275</v>
      </c>
      <c r="B81" s="123" t="s">
        <v>99</v>
      </c>
      <c r="C81" s="139"/>
      <c r="D81" s="138"/>
      <c r="E81" s="139"/>
      <c r="F81" s="139"/>
      <c r="G81" s="139"/>
      <c r="Q81" s="173" t="s">
        <v>463</v>
      </c>
      <c r="R81" s="174"/>
      <c r="S81" s="174"/>
      <c r="T81" s="174"/>
      <c r="U81" s="174" t="s">
        <v>277</v>
      </c>
      <c r="V81" s="178"/>
      <c r="W81" s="123"/>
      <c r="X81" s="123"/>
      <c r="Y81" s="123"/>
      <c r="Z81" s="123"/>
      <c r="AA81" s="123"/>
      <c r="AB81" s="123"/>
      <c r="AC81" s="123"/>
      <c r="AD81" s="123"/>
      <c r="AE81" s="123">
        <v>8</v>
      </c>
      <c r="AF81" s="123">
        <v>9</v>
      </c>
      <c r="AG81" s="123">
        <v>10</v>
      </c>
      <c r="AH81" s="123">
        <v>11</v>
      </c>
      <c r="AI81" s="123"/>
      <c r="AJ81" s="123"/>
      <c r="AK81" s="123"/>
    </row>
    <row r="82" spans="1:37" x14ac:dyDescent="0.25">
      <c r="A82" s="123" t="s">
        <v>304</v>
      </c>
      <c r="B82" s="123" t="s">
        <v>234</v>
      </c>
      <c r="C82" s="139"/>
      <c r="D82" s="138"/>
      <c r="E82" s="139"/>
      <c r="F82" s="139"/>
      <c r="G82" s="139"/>
      <c r="Q82" s="173" t="s">
        <v>465</v>
      </c>
      <c r="R82" s="174"/>
      <c r="S82" s="174"/>
      <c r="T82" s="174"/>
      <c r="U82" s="174" t="s">
        <v>477</v>
      </c>
      <c r="V82" s="178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</row>
    <row r="83" spans="1:37" x14ac:dyDescent="0.25">
      <c r="A83" s="123" t="s">
        <v>328</v>
      </c>
      <c r="B83" s="123" t="s">
        <v>99</v>
      </c>
      <c r="C83" s="139"/>
      <c r="D83" s="138"/>
      <c r="E83" s="139"/>
      <c r="F83" s="139"/>
      <c r="G83" s="139"/>
      <c r="Q83" s="179" t="s">
        <v>467</v>
      </c>
      <c r="R83" s="180"/>
      <c r="S83" s="180"/>
      <c r="T83" s="180"/>
      <c r="U83" s="180" t="s">
        <v>277</v>
      </c>
      <c r="V83" s="181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</row>
    <row r="84" spans="1:37" x14ac:dyDescent="0.25">
      <c r="A84" s="138" t="s">
        <v>283</v>
      </c>
      <c r="B84" s="138" t="s">
        <v>11</v>
      </c>
      <c r="C84" s="139"/>
      <c r="D84" s="138"/>
      <c r="E84" s="139"/>
      <c r="F84" s="139"/>
      <c r="G84" s="139"/>
      <c r="Q84" s="123"/>
      <c r="R84" s="123"/>
      <c r="S84" s="123"/>
      <c r="T84" s="123"/>
      <c r="U84" s="123">
        <v>5</v>
      </c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</row>
    <row r="85" spans="1:37" x14ac:dyDescent="0.25">
      <c r="A85" s="139" t="s">
        <v>300</v>
      </c>
      <c r="B85" s="139" t="s">
        <v>195</v>
      </c>
      <c r="C85" s="139"/>
      <c r="D85" s="138"/>
      <c r="E85" s="139"/>
      <c r="F85" s="139"/>
      <c r="G85" s="139"/>
    </row>
    <row r="86" spans="1:37" x14ac:dyDescent="0.25">
      <c r="A86" s="139" t="s">
        <v>313</v>
      </c>
      <c r="B86" s="139" t="s">
        <v>190</v>
      </c>
      <c r="C86" s="139"/>
      <c r="D86" s="138"/>
      <c r="E86" s="398" t="s">
        <v>496</v>
      </c>
      <c r="F86" s="398"/>
      <c r="G86" s="398"/>
      <c r="H86" s="398"/>
      <c r="I86" s="398"/>
      <c r="J86" s="398"/>
      <c r="K86" s="398"/>
      <c r="L86" s="191" t="s">
        <v>498</v>
      </c>
      <c r="M86" s="191" t="s">
        <v>499</v>
      </c>
      <c r="N86" s="191" t="s">
        <v>500</v>
      </c>
      <c r="O86" s="191" t="s">
        <v>85</v>
      </c>
      <c r="P86" s="191" t="s">
        <v>501</v>
      </c>
      <c r="Q86" s="191" t="s">
        <v>502</v>
      </c>
      <c r="R86" s="191" t="s">
        <v>503</v>
      </c>
      <c r="S86" s="191" t="s">
        <v>504</v>
      </c>
      <c r="T86" s="251" t="s">
        <v>232</v>
      </c>
      <c r="U86" s="251"/>
      <c r="V86" s="251"/>
    </row>
    <row r="87" spans="1:37" x14ac:dyDescent="0.25">
      <c r="A87" s="123" t="s">
        <v>276</v>
      </c>
      <c r="B87" s="123" t="s">
        <v>99</v>
      </c>
      <c r="C87" s="139"/>
      <c r="D87" s="138"/>
      <c r="E87" s="117" t="s">
        <v>497</v>
      </c>
      <c r="F87" s="396" t="s">
        <v>490</v>
      </c>
      <c r="G87" s="396"/>
      <c r="H87" s="396"/>
      <c r="I87" s="396"/>
      <c r="J87" s="396"/>
      <c r="K87" s="396"/>
      <c r="L87" s="198" t="s">
        <v>487</v>
      </c>
      <c r="M87" s="198">
        <v>3</v>
      </c>
      <c r="N87" s="122">
        <v>1</v>
      </c>
      <c r="O87" s="122">
        <v>4</v>
      </c>
      <c r="P87" s="122">
        <v>4</v>
      </c>
      <c r="Q87" s="122">
        <v>1</v>
      </c>
      <c r="R87" s="122">
        <v>1</v>
      </c>
      <c r="S87" s="122">
        <v>1</v>
      </c>
      <c r="T87" s="397">
        <v>3000</v>
      </c>
      <c r="U87" s="397"/>
      <c r="V87" s="397"/>
    </row>
    <row r="88" spans="1:37" x14ac:dyDescent="0.25">
      <c r="A88" s="139" t="s">
        <v>307</v>
      </c>
      <c r="B88" s="139" t="s">
        <v>191</v>
      </c>
      <c r="C88" s="139"/>
      <c r="D88" s="138"/>
      <c r="E88" s="117" t="s">
        <v>497</v>
      </c>
      <c r="F88" s="396" t="s">
        <v>485</v>
      </c>
      <c r="G88" s="396"/>
      <c r="H88" s="396"/>
      <c r="I88" s="396"/>
      <c r="J88" s="396"/>
      <c r="K88" s="396"/>
      <c r="L88" s="198" t="s">
        <v>487</v>
      </c>
      <c r="M88" s="198">
        <v>4</v>
      </c>
      <c r="N88" s="122">
        <v>2</v>
      </c>
      <c r="O88" s="122">
        <v>8</v>
      </c>
      <c r="P88" s="122">
        <v>9</v>
      </c>
      <c r="Q88" s="122">
        <v>1</v>
      </c>
      <c r="R88" s="122">
        <v>2</v>
      </c>
      <c r="S88" s="122">
        <v>1</v>
      </c>
      <c r="T88" s="397">
        <v>12000</v>
      </c>
      <c r="U88" s="397"/>
      <c r="V88" s="397"/>
    </row>
    <row r="89" spans="1:37" x14ac:dyDescent="0.25">
      <c r="A89" s="139" t="s">
        <v>287</v>
      </c>
      <c r="B89" s="139" t="s">
        <v>101</v>
      </c>
      <c r="C89" s="139"/>
      <c r="D89" s="138"/>
      <c r="E89" s="117" t="s">
        <v>497</v>
      </c>
      <c r="F89" s="396" t="s">
        <v>505</v>
      </c>
      <c r="G89" s="396"/>
      <c r="H89" s="396"/>
      <c r="I89" s="396"/>
      <c r="J89" s="396"/>
      <c r="K89" s="396"/>
      <c r="L89" s="198" t="s">
        <v>506</v>
      </c>
      <c r="M89" s="198" t="s">
        <v>507</v>
      </c>
      <c r="N89" s="122">
        <v>1</v>
      </c>
      <c r="O89" s="122">
        <v>5</v>
      </c>
      <c r="P89" s="122">
        <v>5</v>
      </c>
      <c r="Q89" s="122">
        <v>1</v>
      </c>
      <c r="R89" s="122">
        <v>1</v>
      </c>
      <c r="S89" s="122">
        <v>1</v>
      </c>
      <c r="T89" s="397">
        <v>5000</v>
      </c>
      <c r="U89" s="397"/>
      <c r="V89" s="397"/>
    </row>
    <row r="90" spans="1:37" x14ac:dyDescent="0.25">
      <c r="A90" s="139" t="s">
        <v>308</v>
      </c>
      <c r="B90" s="139" t="s">
        <v>191</v>
      </c>
      <c r="C90" s="139"/>
      <c r="D90" s="138"/>
      <c r="E90" s="117" t="s">
        <v>497</v>
      </c>
      <c r="F90" s="396" t="s">
        <v>508</v>
      </c>
      <c r="G90" s="396"/>
      <c r="H90" s="396"/>
      <c r="I90" s="396"/>
      <c r="J90" s="396"/>
      <c r="K90" s="396"/>
      <c r="L90" s="198" t="s">
        <v>509</v>
      </c>
      <c r="M90" s="198" t="s">
        <v>510</v>
      </c>
      <c r="N90" s="122">
        <v>3</v>
      </c>
      <c r="O90" s="122">
        <v>5</v>
      </c>
      <c r="P90" s="122">
        <v>6</v>
      </c>
      <c r="Q90" s="122">
        <v>1</v>
      </c>
      <c r="R90" s="122">
        <v>2</v>
      </c>
      <c r="S90" s="122">
        <v>1</v>
      </c>
      <c r="T90" s="397">
        <v>8500</v>
      </c>
      <c r="U90" s="397"/>
      <c r="V90" s="397"/>
    </row>
    <row r="91" spans="1:37" x14ac:dyDescent="0.25">
      <c r="A91" s="139" t="s">
        <v>309</v>
      </c>
      <c r="B91" s="139" t="s">
        <v>191</v>
      </c>
      <c r="C91" s="139"/>
      <c r="D91" s="138"/>
      <c r="E91" s="117" t="s">
        <v>497</v>
      </c>
      <c r="F91" s="396" t="s">
        <v>511</v>
      </c>
      <c r="G91" s="396"/>
      <c r="H91" s="396"/>
      <c r="I91" s="396"/>
      <c r="J91" s="396"/>
      <c r="K91" s="396"/>
      <c r="L91" s="198" t="s">
        <v>487</v>
      </c>
      <c r="M91" s="198" t="s">
        <v>488</v>
      </c>
      <c r="N91" s="122">
        <v>2</v>
      </c>
      <c r="O91" s="122">
        <v>8</v>
      </c>
      <c r="P91" s="122">
        <v>4</v>
      </c>
      <c r="Q91" s="122">
        <v>1</v>
      </c>
      <c r="R91" s="122">
        <v>2</v>
      </c>
      <c r="S91" s="122">
        <v>2</v>
      </c>
      <c r="T91" s="397">
        <v>10000</v>
      </c>
      <c r="U91" s="397"/>
      <c r="V91" s="397"/>
    </row>
    <row r="92" spans="1:37" x14ac:dyDescent="0.25">
      <c r="A92" s="123" t="s">
        <v>267</v>
      </c>
      <c r="B92" s="123" t="s">
        <v>99</v>
      </c>
      <c r="C92" s="138"/>
      <c r="D92" s="138"/>
      <c r="E92" s="117" t="s">
        <v>497</v>
      </c>
      <c r="F92" s="396" t="s">
        <v>512</v>
      </c>
      <c r="G92" s="396"/>
      <c r="H92" s="396"/>
      <c r="I92" s="396"/>
      <c r="J92" s="396"/>
      <c r="K92" s="396"/>
      <c r="L92" s="198" t="s">
        <v>513</v>
      </c>
      <c r="M92" s="198" t="s">
        <v>489</v>
      </c>
      <c r="N92" s="122">
        <v>2</v>
      </c>
      <c r="O92" s="122">
        <v>8</v>
      </c>
      <c r="P92" s="122">
        <v>6</v>
      </c>
      <c r="Q92" s="122">
        <v>1</v>
      </c>
      <c r="R92" s="122">
        <v>2</v>
      </c>
      <c r="S92" s="122">
        <v>2</v>
      </c>
      <c r="T92" s="397">
        <v>12000</v>
      </c>
      <c r="U92" s="397"/>
      <c r="V92" s="397"/>
    </row>
    <row r="93" spans="1:37" x14ac:dyDescent="0.25">
      <c r="A93" s="123" t="s">
        <v>329</v>
      </c>
      <c r="B93" s="123" t="s">
        <v>99</v>
      </c>
      <c r="C93" s="138"/>
      <c r="D93" s="138"/>
      <c r="E93" s="117" t="s">
        <v>497</v>
      </c>
      <c r="F93" s="396" t="s">
        <v>514</v>
      </c>
      <c r="G93" s="396"/>
      <c r="H93" s="396"/>
      <c r="I93" s="396"/>
      <c r="J93" s="396"/>
      <c r="K93" s="396"/>
      <c r="L93" s="198" t="s">
        <v>515</v>
      </c>
      <c r="M93" s="198" t="s">
        <v>510</v>
      </c>
      <c r="N93" s="122">
        <v>3</v>
      </c>
      <c r="O93" s="122">
        <v>10</v>
      </c>
      <c r="P93" s="122">
        <v>6</v>
      </c>
      <c r="Q93" s="122">
        <v>1</v>
      </c>
      <c r="R93" s="122">
        <v>2</v>
      </c>
      <c r="S93" s="122">
        <v>4</v>
      </c>
      <c r="T93" s="397">
        <v>28500</v>
      </c>
      <c r="U93" s="397"/>
      <c r="V93" s="397"/>
    </row>
    <row r="94" spans="1:37" x14ac:dyDescent="0.25">
      <c r="A94" s="139" t="s">
        <v>314</v>
      </c>
      <c r="B94" s="139" t="s">
        <v>190</v>
      </c>
      <c r="C94" s="138"/>
      <c r="D94" s="138"/>
      <c r="E94" s="117" t="s">
        <v>497</v>
      </c>
      <c r="F94" s="396" t="s">
        <v>516</v>
      </c>
      <c r="G94" s="396"/>
      <c r="H94" s="396"/>
      <c r="I94" s="396"/>
      <c r="J94" s="396"/>
      <c r="K94" s="396"/>
      <c r="L94" s="198" t="s">
        <v>517</v>
      </c>
      <c r="M94" s="198" t="s">
        <v>518</v>
      </c>
      <c r="N94" s="122">
        <v>3</v>
      </c>
      <c r="O94" s="122">
        <v>10</v>
      </c>
      <c r="P94" s="122">
        <v>8</v>
      </c>
      <c r="Q94" s="122">
        <v>3</v>
      </c>
      <c r="R94" s="122">
        <v>5</v>
      </c>
      <c r="S94" s="122">
        <v>2</v>
      </c>
      <c r="T94" s="397">
        <v>110000</v>
      </c>
      <c r="U94" s="397"/>
      <c r="V94" s="397"/>
    </row>
    <row r="95" spans="1:37" x14ac:dyDescent="0.25">
      <c r="A95" s="123" t="s">
        <v>310</v>
      </c>
      <c r="B95" s="123" t="s">
        <v>191</v>
      </c>
      <c r="C95" s="138"/>
      <c r="D95" s="138"/>
      <c r="E95" s="117" t="s">
        <v>497</v>
      </c>
      <c r="F95" s="396" t="s">
        <v>519</v>
      </c>
      <c r="G95" s="396"/>
      <c r="H95" s="396"/>
      <c r="I95" s="396"/>
      <c r="J95" s="396"/>
      <c r="K95" s="396"/>
      <c r="L95" s="198" t="s">
        <v>487</v>
      </c>
      <c r="M95" s="198" t="s">
        <v>488</v>
      </c>
      <c r="N95" s="122">
        <v>2</v>
      </c>
      <c r="O95" s="122">
        <v>11</v>
      </c>
      <c r="P95" s="122">
        <v>6</v>
      </c>
      <c r="Q95" s="122">
        <v>1</v>
      </c>
      <c r="R95" s="122">
        <v>2</v>
      </c>
      <c r="S95" s="122">
        <v>4</v>
      </c>
      <c r="T95" s="397">
        <v>16000</v>
      </c>
      <c r="U95" s="397"/>
      <c r="V95" s="397"/>
    </row>
    <row r="96" spans="1:37" x14ac:dyDescent="0.25">
      <c r="A96" s="139" t="s">
        <v>263</v>
      </c>
      <c r="B96" s="139" t="s">
        <v>191</v>
      </c>
      <c r="C96" s="138"/>
      <c r="D96" s="138"/>
      <c r="E96" s="117" t="s">
        <v>497</v>
      </c>
      <c r="F96" s="396" t="s">
        <v>520</v>
      </c>
      <c r="G96" s="396"/>
      <c r="H96" s="396"/>
      <c r="I96" s="396"/>
      <c r="J96" s="396"/>
      <c r="K96" s="396"/>
      <c r="L96" s="198" t="s">
        <v>515</v>
      </c>
      <c r="M96" s="198" t="s">
        <v>521</v>
      </c>
      <c r="N96" s="122">
        <v>2</v>
      </c>
      <c r="O96" s="122">
        <v>12</v>
      </c>
      <c r="P96" s="122">
        <v>12</v>
      </c>
      <c r="Q96" s="122">
        <v>2</v>
      </c>
      <c r="R96" s="122">
        <v>4</v>
      </c>
      <c r="S96" s="122">
        <v>4</v>
      </c>
      <c r="T96" s="397">
        <v>65000</v>
      </c>
      <c r="U96" s="397"/>
      <c r="V96" s="397"/>
    </row>
    <row r="97" spans="1:22" x14ac:dyDescent="0.25">
      <c r="A97" s="123" t="s">
        <v>277</v>
      </c>
      <c r="B97" s="123" t="s">
        <v>99</v>
      </c>
      <c r="C97" s="138"/>
      <c r="D97" s="138"/>
      <c r="E97" s="117" t="s">
        <v>497</v>
      </c>
      <c r="F97" s="396" t="s">
        <v>522</v>
      </c>
      <c r="G97" s="396"/>
      <c r="H97" s="396"/>
      <c r="I97" s="396"/>
      <c r="J97" s="396"/>
      <c r="K97" s="396"/>
      <c r="L97" s="198" t="s">
        <v>487</v>
      </c>
      <c r="M97" s="198" t="s">
        <v>489</v>
      </c>
      <c r="N97" s="122">
        <v>2</v>
      </c>
      <c r="O97" s="122">
        <v>15</v>
      </c>
      <c r="P97" s="122">
        <v>15</v>
      </c>
      <c r="Q97" s="122">
        <v>3</v>
      </c>
      <c r="R97" s="122">
        <v>5</v>
      </c>
      <c r="S97" s="122">
        <v>8</v>
      </c>
      <c r="T97" s="397">
        <v>320000</v>
      </c>
      <c r="U97" s="397"/>
      <c r="V97" s="397"/>
    </row>
    <row r="98" spans="1:22" x14ac:dyDescent="0.25">
      <c r="A98" s="123" t="s">
        <v>279</v>
      </c>
      <c r="B98" s="123" t="s">
        <v>99</v>
      </c>
      <c r="C98" s="138"/>
      <c r="D98" s="138"/>
      <c r="E98" s="117" t="s">
        <v>497</v>
      </c>
      <c r="F98" s="396" t="s">
        <v>523</v>
      </c>
      <c r="G98" s="396"/>
      <c r="H98" s="396"/>
      <c r="I98" s="396"/>
      <c r="J98" s="396"/>
      <c r="K98" s="396"/>
      <c r="L98" s="198" t="s">
        <v>524</v>
      </c>
      <c r="M98" s="198" t="s">
        <v>489</v>
      </c>
      <c r="N98" s="122">
        <v>2</v>
      </c>
      <c r="O98" s="122">
        <v>14</v>
      </c>
      <c r="P98" s="122">
        <v>10</v>
      </c>
      <c r="Q98" s="122">
        <v>1</v>
      </c>
      <c r="R98" s="122">
        <v>2</v>
      </c>
      <c r="S98" s="122">
        <v>3</v>
      </c>
      <c r="T98" s="397">
        <v>25000</v>
      </c>
      <c r="U98" s="397"/>
      <c r="V98" s="397"/>
    </row>
    <row r="99" spans="1:22" x14ac:dyDescent="0.25">
      <c r="A99" s="139" t="s">
        <v>311</v>
      </c>
      <c r="B99" s="139" t="s">
        <v>191</v>
      </c>
      <c r="C99" s="138"/>
      <c r="D99" s="138"/>
      <c r="E99" s="117" t="s">
        <v>497</v>
      </c>
      <c r="F99" s="396" t="s">
        <v>525</v>
      </c>
      <c r="G99" s="396"/>
      <c r="H99" s="396"/>
      <c r="I99" s="396"/>
      <c r="J99" s="396"/>
      <c r="K99" s="396"/>
      <c r="L99" s="198" t="s">
        <v>526</v>
      </c>
      <c r="M99" s="198" t="s">
        <v>488</v>
      </c>
      <c r="N99" s="122">
        <v>1</v>
      </c>
      <c r="O99" s="122">
        <v>16</v>
      </c>
      <c r="P99" s="122">
        <v>12</v>
      </c>
      <c r="Q99" s="122">
        <v>1</v>
      </c>
      <c r="R99" s="122">
        <v>2</v>
      </c>
      <c r="S99" s="122">
        <v>6</v>
      </c>
      <c r="T99" s="397">
        <v>35000</v>
      </c>
      <c r="U99" s="397"/>
      <c r="V99" s="397"/>
    </row>
    <row r="100" spans="1:22" x14ac:dyDescent="0.25">
      <c r="A100" s="139" t="s">
        <v>261</v>
      </c>
      <c r="B100" s="139" t="s">
        <v>101</v>
      </c>
      <c r="C100" s="138"/>
      <c r="D100" s="138"/>
      <c r="E100" s="117" t="s">
        <v>497</v>
      </c>
      <c r="F100" s="396" t="s">
        <v>527</v>
      </c>
      <c r="G100" s="396"/>
      <c r="H100" s="396"/>
      <c r="I100" s="396"/>
      <c r="J100" s="396"/>
      <c r="K100" s="396"/>
      <c r="L100" s="198" t="s">
        <v>524</v>
      </c>
      <c r="M100" s="198" t="s">
        <v>489</v>
      </c>
      <c r="N100" s="122">
        <v>2</v>
      </c>
      <c r="O100" s="122">
        <v>15</v>
      </c>
      <c r="P100" s="122">
        <v>12</v>
      </c>
      <c r="Q100" s="122">
        <v>2</v>
      </c>
      <c r="R100" s="122">
        <v>4</v>
      </c>
      <c r="S100" s="122">
        <v>6</v>
      </c>
      <c r="T100" s="397">
        <v>68000</v>
      </c>
      <c r="U100" s="397"/>
      <c r="V100" s="397"/>
    </row>
    <row r="101" spans="1:22" x14ac:dyDescent="0.25">
      <c r="A101" s="123" t="s">
        <v>292</v>
      </c>
      <c r="B101" s="123" t="s">
        <v>99</v>
      </c>
      <c r="C101" s="138"/>
      <c r="D101" s="138"/>
      <c r="E101" s="117" t="s">
        <v>497</v>
      </c>
      <c r="F101" s="396" t="s">
        <v>528</v>
      </c>
      <c r="G101" s="396"/>
      <c r="H101" s="396"/>
      <c r="I101" s="396"/>
      <c r="J101" s="396"/>
      <c r="K101" s="396"/>
      <c r="L101" s="198" t="s">
        <v>526</v>
      </c>
      <c r="M101" s="198" t="s">
        <v>488</v>
      </c>
      <c r="N101" s="122">
        <v>1</v>
      </c>
      <c r="O101" s="122">
        <v>18</v>
      </c>
      <c r="P101" s="122">
        <v>18</v>
      </c>
      <c r="Q101" s="122">
        <v>3</v>
      </c>
      <c r="R101" s="122">
        <v>3</v>
      </c>
      <c r="S101" s="122">
        <v>8</v>
      </c>
      <c r="T101" s="397">
        <v>52000</v>
      </c>
      <c r="U101" s="397"/>
      <c r="V101" s="397"/>
    </row>
    <row r="102" spans="1:22" x14ac:dyDescent="0.25">
      <c r="A102" s="139" t="s">
        <v>322</v>
      </c>
      <c r="B102" s="139" t="s">
        <v>101</v>
      </c>
      <c r="E102" s="117" t="s">
        <v>497</v>
      </c>
      <c r="F102" s="396" t="s">
        <v>529</v>
      </c>
      <c r="G102" s="396"/>
      <c r="H102" s="396"/>
      <c r="I102" s="396"/>
      <c r="J102" s="396"/>
      <c r="K102" s="396"/>
      <c r="L102" s="198" t="s">
        <v>489</v>
      </c>
      <c r="M102" s="198" t="s">
        <v>488</v>
      </c>
      <c r="N102" s="122">
        <v>2</v>
      </c>
      <c r="O102" s="122">
        <v>12</v>
      </c>
      <c r="P102" s="122">
        <v>6</v>
      </c>
      <c r="Q102" s="122">
        <v>2</v>
      </c>
      <c r="R102" s="122">
        <v>2</v>
      </c>
      <c r="S102" s="122">
        <v>8</v>
      </c>
      <c r="T102" s="397">
        <v>21000</v>
      </c>
      <c r="U102" s="397"/>
      <c r="V102" s="397"/>
    </row>
    <row r="103" spans="1:22" x14ac:dyDescent="0.25">
      <c r="A103" s="139" t="s">
        <v>323</v>
      </c>
      <c r="B103" s="139" t="s">
        <v>101</v>
      </c>
      <c r="E103" s="117" t="s">
        <v>497</v>
      </c>
      <c r="F103" s="396" t="s">
        <v>530</v>
      </c>
      <c r="G103" s="396"/>
      <c r="H103" s="396"/>
      <c r="I103" s="396"/>
      <c r="J103" s="396"/>
      <c r="K103" s="396"/>
      <c r="L103" s="198" t="s">
        <v>521</v>
      </c>
      <c r="M103" s="198" t="s">
        <v>510</v>
      </c>
      <c r="N103" s="122">
        <v>3</v>
      </c>
      <c r="O103" s="122">
        <v>10</v>
      </c>
      <c r="P103" s="122">
        <v>6</v>
      </c>
      <c r="Q103" s="122">
        <v>1</v>
      </c>
      <c r="R103" s="122">
        <v>1</v>
      </c>
      <c r="S103" s="122">
        <v>3</v>
      </c>
      <c r="T103" s="397">
        <v>37000</v>
      </c>
      <c r="U103" s="397"/>
      <c r="V103" s="397"/>
    </row>
    <row r="104" spans="1:22" x14ac:dyDescent="0.25">
      <c r="A104" s="139" t="s">
        <v>288</v>
      </c>
      <c r="B104" s="139" t="s">
        <v>101</v>
      </c>
      <c r="E104" s="117" t="s">
        <v>497</v>
      </c>
      <c r="F104" s="396" t="s">
        <v>531</v>
      </c>
      <c r="G104" s="396"/>
      <c r="H104" s="396"/>
      <c r="I104" s="396"/>
      <c r="J104" s="396"/>
      <c r="K104" s="396"/>
      <c r="L104" s="198" t="s">
        <v>521</v>
      </c>
      <c r="M104" s="198" t="s">
        <v>489</v>
      </c>
      <c r="N104" s="122">
        <v>2</v>
      </c>
      <c r="O104" s="122">
        <v>16</v>
      </c>
      <c r="P104" s="122">
        <v>10</v>
      </c>
      <c r="Q104" s="122">
        <v>3</v>
      </c>
      <c r="R104" s="122">
        <v>5</v>
      </c>
      <c r="S104" s="122">
        <v>6</v>
      </c>
      <c r="T104" s="397">
        <v>96000</v>
      </c>
      <c r="U104" s="397"/>
      <c r="V104" s="397"/>
    </row>
    <row r="105" spans="1:22" x14ac:dyDescent="0.25">
      <c r="A105" s="1" t="s">
        <v>344</v>
      </c>
      <c r="B105" s="1" t="s">
        <v>191</v>
      </c>
      <c r="E105" s="117" t="s">
        <v>497</v>
      </c>
      <c r="F105" s="396" t="s">
        <v>532</v>
      </c>
      <c r="G105" s="396"/>
      <c r="H105" s="396"/>
      <c r="I105" s="396"/>
      <c r="J105" s="396"/>
      <c r="K105" s="396"/>
      <c r="L105" s="198" t="s">
        <v>488</v>
      </c>
      <c r="M105" s="198" t="s">
        <v>533</v>
      </c>
      <c r="N105" s="122">
        <v>1</v>
      </c>
      <c r="O105" s="122">
        <v>6</v>
      </c>
      <c r="P105" s="122">
        <v>6</v>
      </c>
      <c r="Q105" s="122">
        <v>1</v>
      </c>
      <c r="R105" s="122">
        <v>3</v>
      </c>
      <c r="S105" s="122">
        <v>4</v>
      </c>
      <c r="T105" s="397">
        <v>14000</v>
      </c>
      <c r="U105" s="397"/>
      <c r="V105" s="397"/>
    </row>
    <row r="106" spans="1:22" x14ac:dyDescent="0.25">
      <c r="A106" s="139" t="s">
        <v>285</v>
      </c>
      <c r="B106" s="139" t="s">
        <v>191</v>
      </c>
      <c r="E106" s="117" t="s">
        <v>497</v>
      </c>
      <c r="F106" s="396" t="s">
        <v>534</v>
      </c>
      <c r="G106" s="396"/>
      <c r="H106" s="396"/>
      <c r="I106" s="396"/>
      <c r="J106" s="396"/>
      <c r="K106" s="396"/>
      <c r="L106" s="198" t="s">
        <v>488</v>
      </c>
      <c r="M106" s="198" t="s">
        <v>488</v>
      </c>
      <c r="N106" s="122">
        <v>1</v>
      </c>
      <c r="O106" s="122">
        <v>12</v>
      </c>
      <c r="P106" s="122">
        <v>10</v>
      </c>
      <c r="Q106" s="122">
        <v>4</v>
      </c>
      <c r="R106" s="122">
        <v>4</v>
      </c>
      <c r="S106" s="122">
        <v>2</v>
      </c>
      <c r="T106" s="397">
        <v>108000</v>
      </c>
      <c r="U106" s="397"/>
      <c r="V106" s="397"/>
    </row>
    <row r="107" spans="1:22" x14ac:dyDescent="0.25">
      <c r="A107" s="1" t="s">
        <v>268</v>
      </c>
      <c r="B107" s="1" t="s">
        <v>99</v>
      </c>
      <c r="E107" s="117" t="s">
        <v>497</v>
      </c>
      <c r="F107" s="396" t="s">
        <v>535</v>
      </c>
      <c r="G107" s="396"/>
      <c r="H107" s="396"/>
      <c r="I107" s="396"/>
      <c r="J107" s="396"/>
      <c r="K107" s="396"/>
      <c r="L107" s="198" t="s">
        <v>510</v>
      </c>
      <c r="M107" s="198" t="s">
        <v>488</v>
      </c>
      <c r="N107" s="122">
        <v>1</v>
      </c>
      <c r="O107" s="122">
        <v>4</v>
      </c>
      <c r="P107" s="122">
        <v>0</v>
      </c>
      <c r="Q107" s="122">
        <v>1</v>
      </c>
      <c r="R107" s="122">
        <v>1</v>
      </c>
      <c r="S107" s="122">
        <v>1</v>
      </c>
      <c r="T107" s="397">
        <v>20000</v>
      </c>
      <c r="U107" s="397"/>
      <c r="V107" s="397"/>
    </row>
    <row r="108" spans="1:22" x14ac:dyDescent="0.25">
      <c r="A108" s="1" t="s">
        <v>293</v>
      </c>
      <c r="B108" s="1" t="s">
        <v>99</v>
      </c>
      <c r="E108" s="117" t="s">
        <v>497</v>
      </c>
      <c r="F108" s="396" t="s">
        <v>536</v>
      </c>
      <c r="G108" s="396"/>
      <c r="H108" s="396"/>
      <c r="I108" s="396"/>
      <c r="J108" s="396"/>
      <c r="K108" s="396"/>
      <c r="L108" s="198" t="s">
        <v>488</v>
      </c>
      <c r="M108" s="198" t="s">
        <v>521</v>
      </c>
      <c r="N108" s="122">
        <v>3</v>
      </c>
      <c r="O108" s="122">
        <v>18</v>
      </c>
      <c r="P108" s="122">
        <v>4</v>
      </c>
      <c r="Q108" s="122">
        <v>2</v>
      </c>
      <c r="R108" s="122">
        <v>2</v>
      </c>
      <c r="S108" s="122">
        <v>4</v>
      </c>
      <c r="T108" s="397">
        <v>146000</v>
      </c>
      <c r="U108" s="397"/>
      <c r="V108" s="397"/>
    </row>
    <row r="109" spans="1:22" x14ac:dyDescent="0.25">
      <c r="A109" s="1" t="s">
        <v>294</v>
      </c>
      <c r="B109" s="1" t="s">
        <v>195</v>
      </c>
      <c r="E109" s="117" t="s">
        <v>497</v>
      </c>
      <c r="F109" s="396" t="s">
        <v>537</v>
      </c>
      <c r="G109" s="396"/>
      <c r="H109" s="396"/>
      <c r="I109" s="396"/>
      <c r="J109" s="396"/>
      <c r="K109" s="396"/>
      <c r="L109" s="198" t="s">
        <v>488</v>
      </c>
      <c r="M109" s="198" t="s">
        <v>489</v>
      </c>
      <c r="N109" s="122">
        <v>3</v>
      </c>
      <c r="O109" s="122">
        <v>20</v>
      </c>
      <c r="P109" s="122">
        <v>10</v>
      </c>
      <c r="Q109" s="122">
        <v>3</v>
      </c>
      <c r="R109" s="122">
        <v>3</v>
      </c>
      <c r="S109" s="122">
        <v>24</v>
      </c>
      <c r="T109" s="397">
        <v>300000</v>
      </c>
      <c r="U109" s="397"/>
      <c r="V109" s="397"/>
    </row>
    <row r="110" spans="1:22" x14ac:dyDescent="0.25">
      <c r="A110" s="139" t="s">
        <v>289</v>
      </c>
      <c r="B110" s="139" t="s">
        <v>101</v>
      </c>
      <c r="E110" s="117" t="s">
        <v>497</v>
      </c>
      <c r="F110" s="396" t="s">
        <v>538</v>
      </c>
      <c r="G110" s="396"/>
      <c r="H110" s="396"/>
      <c r="I110" s="396"/>
      <c r="J110" s="396"/>
      <c r="K110" s="396"/>
      <c r="L110" s="198" t="s">
        <v>489</v>
      </c>
      <c r="M110" s="198" t="s">
        <v>489</v>
      </c>
      <c r="N110" s="122">
        <v>3</v>
      </c>
      <c r="O110" s="122">
        <v>22</v>
      </c>
      <c r="P110" s="122">
        <v>8</v>
      </c>
      <c r="Q110" s="122">
        <v>3</v>
      </c>
      <c r="R110" s="122">
        <v>3</v>
      </c>
      <c r="S110" s="122">
        <v>18</v>
      </c>
      <c r="T110" s="397">
        <v>355000</v>
      </c>
      <c r="U110" s="397"/>
      <c r="V110" s="397"/>
    </row>
    <row r="111" spans="1:22" x14ac:dyDescent="0.25">
      <c r="A111" s="139" t="s">
        <v>301</v>
      </c>
      <c r="B111" s="139" t="s">
        <v>191</v>
      </c>
      <c r="E111" s="117" t="s">
        <v>497</v>
      </c>
      <c r="F111" s="396" t="s">
        <v>539</v>
      </c>
      <c r="G111" s="396"/>
      <c r="H111" s="396"/>
      <c r="I111" s="396"/>
      <c r="J111" s="396"/>
      <c r="K111" s="396"/>
      <c r="L111" s="198" t="s">
        <v>521</v>
      </c>
      <c r="M111" s="198" t="s">
        <v>489</v>
      </c>
      <c r="N111" s="122">
        <v>3</v>
      </c>
      <c r="O111" s="122">
        <v>16</v>
      </c>
      <c r="P111" s="122">
        <v>16</v>
      </c>
      <c r="Q111" s="122">
        <v>2</v>
      </c>
      <c r="R111" s="122">
        <v>4</v>
      </c>
      <c r="S111" s="122">
        <v>12</v>
      </c>
      <c r="T111" s="397">
        <v>425000</v>
      </c>
      <c r="U111" s="397"/>
      <c r="V111" s="397"/>
    </row>
    <row r="112" spans="1:22" x14ac:dyDescent="0.25">
      <c r="A112" s="139" t="s">
        <v>338</v>
      </c>
      <c r="B112" s="139" t="s">
        <v>195</v>
      </c>
      <c r="E112" s="117" t="s">
        <v>497</v>
      </c>
      <c r="F112" s="396" t="s">
        <v>540</v>
      </c>
      <c r="G112" s="396"/>
      <c r="H112" s="396"/>
      <c r="I112" s="396"/>
      <c r="J112" s="396"/>
      <c r="K112" s="396"/>
      <c r="L112" s="198" t="s">
        <v>521</v>
      </c>
      <c r="M112" s="198" t="s">
        <v>521</v>
      </c>
      <c r="N112" s="122">
        <v>3</v>
      </c>
      <c r="O112" s="122">
        <v>10</v>
      </c>
      <c r="P112" s="122">
        <v>8</v>
      </c>
      <c r="Q112" s="122">
        <v>3</v>
      </c>
      <c r="R112" s="122">
        <v>3</v>
      </c>
      <c r="S112" s="122">
        <v>1</v>
      </c>
      <c r="T112" s="397">
        <v>86000</v>
      </c>
      <c r="U112" s="397"/>
      <c r="V112" s="397"/>
    </row>
    <row r="113" spans="1:22" x14ac:dyDescent="0.25">
      <c r="A113" s="139" t="s">
        <v>262</v>
      </c>
      <c r="B113" s="139" t="s">
        <v>101</v>
      </c>
      <c r="E113" s="117" t="s">
        <v>497</v>
      </c>
      <c r="F113" s="396" t="s">
        <v>541</v>
      </c>
      <c r="G113" s="396"/>
      <c r="H113" s="396"/>
      <c r="I113" s="396"/>
      <c r="J113" s="396"/>
      <c r="K113" s="396"/>
      <c r="L113" s="198" t="s">
        <v>521</v>
      </c>
      <c r="M113" s="198" t="s">
        <v>518</v>
      </c>
      <c r="N113" s="122">
        <v>4</v>
      </c>
      <c r="O113" s="122">
        <v>16</v>
      </c>
      <c r="P113" s="122">
        <v>14</v>
      </c>
      <c r="Q113" s="122">
        <v>4</v>
      </c>
      <c r="R113" s="122">
        <v>4</v>
      </c>
      <c r="S113" s="122">
        <v>6</v>
      </c>
      <c r="T113" s="397">
        <v>400000</v>
      </c>
      <c r="U113" s="397"/>
      <c r="V113" s="397"/>
    </row>
    <row r="114" spans="1:22" x14ac:dyDescent="0.25">
      <c r="A114" s="1" t="s">
        <v>315</v>
      </c>
      <c r="B114" s="1" t="s">
        <v>192</v>
      </c>
      <c r="E114" s="117" t="s">
        <v>497</v>
      </c>
      <c r="F114" s="396" t="s">
        <v>542</v>
      </c>
      <c r="G114" s="396"/>
      <c r="H114" s="396"/>
      <c r="I114" s="396"/>
      <c r="J114" s="396"/>
      <c r="K114" s="396"/>
      <c r="L114" s="198" t="s">
        <v>510</v>
      </c>
      <c r="M114" s="198" t="s">
        <v>543</v>
      </c>
      <c r="N114" s="122">
        <v>4</v>
      </c>
      <c r="O114" s="122">
        <v>20</v>
      </c>
      <c r="P114" s="122">
        <v>18</v>
      </c>
      <c r="Q114" s="122">
        <v>4</v>
      </c>
      <c r="R114" s="122">
        <v>6</v>
      </c>
      <c r="S114" s="122">
        <v>12</v>
      </c>
      <c r="T114" s="397">
        <v>2500000</v>
      </c>
      <c r="U114" s="397"/>
      <c r="V114" s="397"/>
    </row>
    <row r="115" spans="1:22" x14ac:dyDescent="0.25">
      <c r="A115" s="1" t="s">
        <v>316</v>
      </c>
      <c r="B115" s="1" t="s">
        <v>192</v>
      </c>
      <c r="E115" s="117" t="s">
        <v>497</v>
      </c>
      <c r="F115" s="396" t="s">
        <v>544</v>
      </c>
      <c r="G115" s="396"/>
      <c r="H115" s="396"/>
      <c r="I115" s="396"/>
      <c r="J115" s="396"/>
      <c r="K115" s="396"/>
      <c r="L115" s="198" t="s">
        <v>488</v>
      </c>
      <c r="M115" s="198" t="s">
        <v>488</v>
      </c>
      <c r="N115" s="122">
        <v>3</v>
      </c>
      <c r="O115" s="122">
        <v>16</v>
      </c>
      <c r="P115" s="122">
        <v>8</v>
      </c>
      <c r="Q115" s="122">
        <v>3</v>
      </c>
      <c r="R115" s="122">
        <v>3</v>
      </c>
      <c r="S115" s="122">
        <v>30</v>
      </c>
      <c r="T115" s="397">
        <v>350000</v>
      </c>
      <c r="U115" s="397"/>
      <c r="V115" s="397"/>
    </row>
    <row r="116" spans="1:22" x14ac:dyDescent="0.25">
      <c r="A116" s="1" t="s">
        <v>317</v>
      </c>
      <c r="B116" s="1" t="s">
        <v>192</v>
      </c>
      <c r="E116" s="117" t="s">
        <v>3</v>
      </c>
      <c r="F116" s="396" t="s">
        <v>545</v>
      </c>
      <c r="G116" s="396"/>
      <c r="H116" s="396"/>
      <c r="I116" s="396"/>
      <c r="J116" s="396"/>
      <c r="K116" s="396"/>
      <c r="L116" s="198" t="s">
        <v>489</v>
      </c>
      <c r="M116" s="198" t="s">
        <v>533</v>
      </c>
      <c r="N116" s="122">
        <v>1</v>
      </c>
      <c r="O116" s="122">
        <v>0</v>
      </c>
      <c r="P116" s="122">
        <v>0</v>
      </c>
      <c r="Q116" s="122">
        <v>3</v>
      </c>
      <c r="R116" s="122">
        <v>3</v>
      </c>
      <c r="S116" s="122">
        <v>0</v>
      </c>
      <c r="T116" s="397">
        <v>1000</v>
      </c>
      <c r="U116" s="397"/>
      <c r="V116" s="397"/>
    </row>
    <row r="117" spans="1:22" x14ac:dyDescent="0.25">
      <c r="A117" s="1" t="s">
        <v>318</v>
      </c>
      <c r="B117" s="1" t="s">
        <v>192</v>
      </c>
      <c r="E117" s="117" t="s">
        <v>3</v>
      </c>
      <c r="F117" s="396" t="s">
        <v>546</v>
      </c>
      <c r="G117" s="396"/>
      <c r="H117" s="396"/>
      <c r="I117" s="396"/>
      <c r="J117" s="396"/>
      <c r="K117" s="396"/>
      <c r="L117" s="198" t="s">
        <v>488</v>
      </c>
      <c r="M117" s="198" t="s">
        <v>488</v>
      </c>
      <c r="N117" s="122">
        <v>1</v>
      </c>
      <c r="O117" s="122">
        <v>0</v>
      </c>
      <c r="P117" s="122">
        <v>0</v>
      </c>
      <c r="Q117" s="122">
        <v>3</v>
      </c>
      <c r="R117" s="122">
        <v>3</v>
      </c>
      <c r="S117" s="122">
        <v>0</v>
      </c>
      <c r="T117" s="397">
        <v>1000</v>
      </c>
      <c r="U117" s="397"/>
      <c r="V117" s="397"/>
    </row>
    <row r="118" spans="1:22" x14ac:dyDescent="0.25">
      <c r="A118" s="1" t="s">
        <v>319</v>
      </c>
      <c r="B118" s="1" t="s">
        <v>192</v>
      </c>
      <c r="E118" s="117" t="s">
        <v>3</v>
      </c>
      <c r="F118" s="396" t="s">
        <v>547</v>
      </c>
      <c r="G118" s="396"/>
      <c r="H118" s="396"/>
      <c r="I118" s="396"/>
      <c r="J118" s="396"/>
      <c r="K118" s="396"/>
      <c r="L118" s="198" t="s">
        <v>489</v>
      </c>
      <c r="M118" s="198" t="s">
        <v>488</v>
      </c>
      <c r="N118" s="122">
        <v>2</v>
      </c>
      <c r="O118" s="122">
        <v>1</v>
      </c>
      <c r="P118" s="122">
        <v>0</v>
      </c>
      <c r="Q118" s="122">
        <v>3</v>
      </c>
      <c r="R118" s="122">
        <v>3</v>
      </c>
      <c r="S118" s="122">
        <v>0</v>
      </c>
      <c r="T118" s="397">
        <v>2000</v>
      </c>
      <c r="U118" s="397"/>
      <c r="V118" s="397"/>
    </row>
    <row r="119" spans="1:22" x14ac:dyDescent="0.25">
      <c r="A119" s="1" t="s">
        <v>320</v>
      </c>
      <c r="B119" s="1" t="s">
        <v>192</v>
      </c>
      <c r="E119" s="117" t="s">
        <v>3</v>
      </c>
      <c r="F119" s="396" t="s">
        <v>548</v>
      </c>
      <c r="G119" s="396"/>
      <c r="H119" s="396"/>
      <c r="I119" s="396"/>
      <c r="J119" s="396"/>
      <c r="K119" s="396"/>
      <c r="L119" s="198" t="s">
        <v>489</v>
      </c>
      <c r="M119" s="198" t="s">
        <v>488</v>
      </c>
      <c r="N119" s="122">
        <v>2</v>
      </c>
      <c r="O119" s="122">
        <v>1</v>
      </c>
      <c r="P119" s="122">
        <v>0</v>
      </c>
      <c r="Q119" s="122">
        <v>3</v>
      </c>
      <c r="R119" s="122">
        <v>3</v>
      </c>
      <c r="S119" s="122">
        <v>0</v>
      </c>
      <c r="T119" s="397">
        <v>2000</v>
      </c>
      <c r="U119" s="397"/>
      <c r="V119" s="397"/>
    </row>
    <row r="120" spans="1:22" x14ac:dyDescent="0.25">
      <c r="A120" s="139" t="s">
        <v>286</v>
      </c>
      <c r="B120" s="139" t="s">
        <v>191</v>
      </c>
      <c r="E120" s="117" t="s">
        <v>3</v>
      </c>
      <c r="F120" s="396" t="s">
        <v>549</v>
      </c>
      <c r="G120" s="396"/>
      <c r="H120" s="396"/>
      <c r="I120" s="396"/>
      <c r="J120" s="396"/>
      <c r="K120" s="396"/>
      <c r="L120" s="198" t="s">
        <v>489</v>
      </c>
      <c r="M120" s="198" t="s">
        <v>488</v>
      </c>
      <c r="N120" s="122">
        <v>1</v>
      </c>
      <c r="O120" s="122">
        <v>3</v>
      </c>
      <c r="P120" s="122">
        <v>3</v>
      </c>
      <c r="Q120" s="122">
        <v>4</v>
      </c>
      <c r="R120" s="122">
        <v>3</v>
      </c>
      <c r="S120" s="122">
        <v>0</v>
      </c>
      <c r="T120" s="397">
        <v>4000</v>
      </c>
      <c r="U120" s="397"/>
      <c r="V120" s="397"/>
    </row>
    <row r="121" spans="1:22" x14ac:dyDescent="0.25">
      <c r="A121" s="1" t="s">
        <v>305</v>
      </c>
      <c r="B121" s="1" t="s">
        <v>234</v>
      </c>
      <c r="E121" s="117" t="s">
        <v>3</v>
      </c>
      <c r="F121" s="396" t="s">
        <v>550</v>
      </c>
      <c r="G121" s="396"/>
      <c r="H121" s="396"/>
      <c r="I121" s="396"/>
      <c r="J121" s="396"/>
      <c r="K121" s="396"/>
      <c r="L121" s="198" t="s">
        <v>489</v>
      </c>
      <c r="M121" s="198" t="s">
        <v>489</v>
      </c>
      <c r="N121" s="122">
        <v>3</v>
      </c>
      <c r="O121" s="122">
        <v>2</v>
      </c>
      <c r="P121" s="122">
        <v>2</v>
      </c>
      <c r="Q121" s="122">
        <v>3</v>
      </c>
      <c r="R121" s="122">
        <v>3</v>
      </c>
      <c r="S121" s="122">
        <v>0</v>
      </c>
      <c r="T121" s="397">
        <v>21000</v>
      </c>
      <c r="U121" s="397"/>
      <c r="V121" s="397"/>
    </row>
    <row r="122" spans="1:22" x14ac:dyDescent="0.25">
      <c r="A122" s="138" t="s">
        <v>298</v>
      </c>
      <c r="B122" s="138" t="s">
        <v>11</v>
      </c>
      <c r="E122" s="117" t="s">
        <v>3</v>
      </c>
      <c r="F122" s="396" t="s">
        <v>551</v>
      </c>
      <c r="G122" s="396"/>
      <c r="H122" s="396"/>
      <c r="I122" s="396"/>
      <c r="J122" s="396"/>
      <c r="K122" s="396"/>
      <c r="L122" s="198" t="s">
        <v>488</v>
      </c>
      <c r="M122" s="198" t="s">
        <v>488</v>
      </c>
      <c r="N122" s="122">
        <v>1</v>
      </c>
      <c r="O122" s="122">
        <v>4</v>
      </c>
      <c r="P122" s="122">
        <v>4</v>
      </c>
      <c r="Q122" s="122">
        <v>3</v>
      </c>
      <c r="R122" s="122">
        <v>3</v>
      </c>
      <c r="S122" s="122">
        <v>0</v>
      </c>
      <c r="T122" s="397">
        <v>4500</v>
      </c>
      <c r="U122" s="397"/>
      <c r="V122" s="397"/>
    </row>
    <row r="123" spans="1:22" x14ac:dyDescent="0.25">
      <c r="A123" s="139" t="s">
        <v>264</v>
      </c>
      <c r="B123" s="139" t="s">
        <v>193</v>
      </c>
      <c r="E123" s="117" t="s">
        <v>3</v>
      </c>
      <c r="F123" s="396" t="s">
        <v>552</v>
      </c>
      <c r="G123" s="396"/>
      <c r="H123" s="396"/>
      <c r="I123" s="396"/>
      <c r="J123" s="396"/>
      <c r="K123" s="396"/>
      <c r="L123" s="198" t="s">
        <v>521</v>
      </c>
      <c r="M123" s="198" t="s">
        <v>488</v>
      </c>
      <c r="N123" s="122">
        <v>1</v>
      </c>
      <c r="O123" s="122">
        <v>4</v>
      </c>
      <c r="P123" s="122">
        <v>4</v>
      </c>
      <c r="Q123" s="122">
        <v>3</v>
      </c>
      <c r="R123" s="122">
        <v>3</v>
      </c>
      <c r="S123" s="122">
        <v>0</v>
      </c>
      <c r="T123" s="397">
        <v>5000</v>
      </c>
      <c r="U123" s="397"/>
      <c r="V123" s="397"/>
    </row>
    <row r="124" spans="1:22" x14ac:dyDescent="0.25">
      <c r="A124" s="139" t="s">
        <v>302</v>
      </c>
      <c r="B124" s="139" t="s">
        <v>191</v>
      </c>
      <c r="E124" s="117" t="s">
        <v>3</v>
      </c>
      <c r="F124" s="396" t="s">
        <v>553</v>
      </c>
      <c r="G124" s="396"/>
      <c r="H124" s="396"/>
      <c r="I124" s="396"/>
      <c r="J124" s="396"/>
      <c r="K124" s="396"/>
      <c r="L124" s="198" t="s">
        <v>489</v>
      </c>
      <c r="M124" s="198" t="s">
        <v>489</v>
      </c>
      <c r="N124" s="122">
        <v>2</v>
      </c>
      <c r="O124" s="122">
        <v>4</v>
      </c>
      <c r="P124" s="122">
        <v>4</v>
      </c>
      <c r="Q124" s="122">
        <v>3</v>
      </c>
      <c r="R124" s="122">
        <v>3</v>
      </c>
      <c r="S124" s="122">
        <v>0</v>
      </c>
      <c r="T124" s="397">
        <v>5000</v>
      </c>
      <c r="U124" s="397"/>
      <c r="V124" s="397"/>
    </row>
    <row r="125" spans="1:22" x14ac:dyDescent="0.25">
      <c r="A125" s="1" t="s">
        <v>280</v>
      </c>
      <c r="B125" s="1" t="s">
        <v>99</v>
      </c>
      <c r="E125" s="117" t="s">
        <v>3</v>
      </c>
      <c r="F125" s="396" t="s">
        <v>554</v>
      </c>
      <c r="G125" s="396"/>
      <c r="H125" s="396"/>
      <c r="I125" s="396"/>
      <c r="J125" s="396"/>
      <c r="K125" s="396"/>
      <c r="L125" s="198" t="s">
        <v>521</v>
      </c>
      <c r="M125" s="198" t="s">
        <v>521</v>
      </c>
      <c r="N125" s="122">
        <v>3</v>
      </c>
      <c r="O125" s="122">
        <v>5</v>
      </c>
      <c r="P125" s="122">
        <v>5</v>
      </c>
      <c r="Q125" s="122">
        <v>3</v>
      </c>
      <c r="R125" s="122">
        <v>3</v>
      </c>
      <c r="S125" s="122">
        <v>0</v>
      </c>
      <c r="T125" s="397">
        <v>10000</v>
      </c>
      <c r="U125" s="397"/>
      <c r="V125" s="397"/>
    </row>
    <row r="126" spans="1:22" x14ac:dyDescent="0.25">
      <c r="A126" s="138" t="s">
        <v>299</v>
      </c>
      <c r="B126" s="138" t="s">
        <v>11</v>
      </c>
      <c r="E126" s="117" t="s">
        <v>3</v>
      </c>
      <c r="F126" s="396" t="s">
        <v>555</v>
      </c>
      <c r="G126" s="396"/>
      <c r="H126" s="396"/>
      <c r="I126" s="396"/>
      <c r="J126" s="396"/>
      <c r="K126" s="396"/>
      <c r="L126" s="198" t="s">
        <v>521</v>
      </c>
      <c r="M126" s="198" t="s">
        <v>489</v>
      </c>
      <c r="N126" s="122">
        <v>2</v>
      </c>
      <c r="O126" s="122">
        <v>6</v>
      </c>
      <c r="P126" s="122">
        <v>12</v>
      </c>
      <c r="Q126" s="122">
        <v>3</v>
      </c>
      <c r="R126" s="122">
        <v>3</v>
      </c>
      <c r="S126" s="122">
        <v>0</v>
      </c>
      <c r="T126" s="397">
        <v>25000</v>
      </c>
      <c r="U126" s="397"/>
      <c r="V126" s="397"/>
    </row>
    <row r="127" spans="1:22" x14ac:dyDescent="0.25">
      <c r="A127" s="138" t="s">
        <v>274</v>
      </c>
      <c r="B127" s="138" t="s">
        <v>11</v>
      </c>
      <c r="E127" s="117"/>
      <c r="F127" s="396"/>
      <c r="G127" s="396"/>
      <c r="H127" s="396"/>
      <c r="I127" s="396"/>
      <c r="J127" s="396"/>
      <c r="K127" s="396"/>
      <c r="L127" s="198"/>
      <c r="M127" s="198"/>
      <c r="N127" s="122"/>
      <c r="O127" s="122"/>
      <c r="P127" s="122"/>
      <c r="Q127" s="122"/>
      <c r="R127" s="122"/>
      <c r="S127" s="122"/>
      <c r="T127" s="397"/>
      <c r="U127" s="397"/>
      <c r="V127" s="397"/>
    </row>
    <row r="128" spans="1:22" x14ac:dyDescent="0.25">
      <c r="A128" s="139" t="s">
        <v>295</v>
      </c>
      <c r="B128" s="139" t="s">
        <v>194</v>
      </c>
      <c r="E128" s="117"/>
      <c r="F128" s="396"/>
      <c r="G128" s="396"/>
      <c r="H128" s="396"/>
      <c r="I128" s="396"/>
      <c r="J128" s="396"/>
      <c r="K128" s="396"/>
      <c r="L128" s="198"/>
      <c r="M128" s="198"/>
      <c r="N128" s="122"/>
      <c r="O128" s="122"/>
      <c r="P128" s="122"/>
      <c r="Q128" s="122"/>
      <c r="R128" s="122"/>
      <c r="S128" s="122"/>
      <c r="T128" s="397"/>
      <c r="U128" s="397"/>
      <c r="V128" s="397"/>
    </row>
    <row r="129" spans="1:22" x14ac:dyDescent="0.25">
      <c r="A129" s="139" t="s">
        <v>265</v>
      </c>
      <c r="B129" s="139" t="s">
        <v>193</v>
      </c>
      <c r="E129" s="117"/>
      <c r="F129" s="396"/>
      <c r="G129" s="396"/>
      <c r="H129" s="396"/>
      <c r="I129" s="396"/>
      <c r="J129" s="396"/>
      <c r="K129" s="396"/>
      <c r="L129" s="198"/>
      <c r="M129" s="198"/>
      <c r="N129" s="122"/>
      <c r="O129" s="122"/>
      <c r="P129" s="122"/>
      <c r="Q129" s="122"/>
      <c r="R129" s="122"/>
      <c r="S129" s="122"/>
      <c r="T129" s="397"/>
      <c r="U129" s="397"/>
      <c r="V129" s="397"/>
    </row>
    <row r="130" spans="1:22" x14ac:dyDescent="0.25">
      <c r="A130" s="139" t="s">
        <v>312</v>
      </c>
      <c r="B130" s="139" t="s">
        <v>191</v>
      </c>
      <c r="E130" s="117"/>
      <c r="F130" s="396"/>
      <c r="G130" s="396"/>
      <c r="H130" s="396"/>
      <c r="I130" s="396"/>
      <c r="J130" s="396"/>
      <c r="K130" s="396"/>
      <c r="L130" s="198"/>
      <c r="M130" s="198"/>
      <c r="N130" s="122"/>
      <c r="O130" s="122"/>
      <c r="P130" s="122"/>
      <c r="Q130" s="122"/>
      <c r="R130" s="122"/>
      <c r="S130" s="122"/>
      <c r="T130" s="397"/>
      <c r="U130" s="397"/>
      <c r="V130" s="397"/>
    </row>
    <row r="131" spans="1:22" x14ac:dyDescent="0.25">
      <c r="A131" s="139" t="s">
        <v>296</v>
      </c>
      <c r="B131" s="139" t="s">
        <v>195</v>
      </c>
      <c r="E131" s="117"/>
      <c r="F131" s="396"/>
      <c r="G131" s="396"/>
      <c r="H131" s="396"/>
      <c r="I131" s="396"/>
      <c r="J131" s="396"/>
      <c r="K131" s="396"/>
      <c r="L131" s="198"/>
      <c r="M131" s="198"/>
      <c r="N131" s="122"/>
      <c r="O131" s="122"/>
      <c r="P131" s="122"/>
      <c r="Q131" s="122"/>
      <c r="R131" s="122"/>
      <c r="S131" s="122"/>
      <c r="T131" s="397"/>
      <c r="U131" s="397"/>
      <c r="V131" s="397"/>
    </row>
    <row r="132" spans="1:22" x14ac:dyDescent="0.25">
      <c r="A132" s="139" t="s">
        <v>343</v>
      </c>
      <c r="B132" s="139" t="s">
        <v>191</v>
      </c>
      <c r="E132" s="117"/>
      <c r="F132" s="396"/>
      <c r="G132" s="396"/>
      <c r="H132" s="396"/>
      <c r="I132" s="396"/>
      <c r="J132" s="396"/>
      <c r="K132" s="396"/>
      <c r="L132" s="198"/>
      <c r="M132" s="198"/>
      <c r="N132" s="122"/>
      <c r="O132" s="122"/>
      <c r="P132" s="122"/>
      <c r="Q132" s="122"/>
      <c r="R132" s="122"/>
      <c r="S132" s="122"/>
      <c r="T132" s="397"/>
      <c r="U132" s="397"/>
      <c r="V132" s="397"/>
    </row>
    <row r="133" spans="1:22" x14ac:dyDescent="0.25">
      <c r="L133" s="197"/>
      <c r="M133" s="197"/>
    </row>
    <row r="134" spans="1:22" x14ac:dyDescent="0.25">
      <c r="L134" s="197"/>
      <c r="M134" s="197"/>
    </row>
    <row r="135" spans="1:22" x14ac:dyDescent="0.25">
      <c r="L135" s="197"/>
      <c r="M135" s="197"/>
    </row>
    <row r="136" spans="1:22" x14ac:dyDescent="0.25">
      <c r="L136" s="197"/>
      <c r="M136" s="197"/>
    </row>
    <row r="137" spans="1:22" x14ac:dyDescent="0.25">
      <c r="L137" s="197"/>
      <c r="M137" s="197"/>
    </row>
    <row r="138" spans="1:22" x14ac:dyDescent="0.25">
      <c r="L138" s="197"/>
      <c r="M138" s="197"/>
    </row>
    <row r="139" spans="1:22" x14ac:dyDescent="0.25">
      <c r="L139" s="197"/>
      <c r="M139" s="197"/>
    </row>
    <row r="140" spans="1:22" x14ac:dyDescent="0.25">
      <c r="L140" s="197"/>
      <c r="M140" s="197"/>
    </row>
    <row r="141" spans="1:22" x14ac:dyDescent="0.25">
      <c r="L141" s="197"/>
      <c r="M141" s="197"/>
    </row>
    <row r="142" spans="1:22" x14ac:dyDescent="0.25">
      <c r="L142" s="197"/>
      <c r="M142" s="197"/>
    </row>
    <row r="143" spans="1:22" x14ac:dyDescent="0.25">
      <c r="L143" s="197"/>
      <c r="M143" s="197"/>
    </row>
    <row r="144" spans="1:22" x14ac:dyDescent="0.25">
      <c r="L144" s="197"/>
      <c r="M144" s="197"/>
    </row>
    <row r="145" spans="12:13" x14ac:dyDescent="0.25">
      <c r="L145" s="197"/>
      <c r="M145" s="197"/>
    </row>
    <row r="146" spans="12:13" x14ac:dyDescent="0.25">
      <c r="L146" s="197"/>
      <c r="M146" s="197"/>
    </row>
    <row r="147" spans="12:13" x14ac:dyDescent="0.25">
      <c r="L147" s="197"/>
      <c r="M147" s="197"/>
    </row>
    <row r="148" spans="12:13" x14ac:dyDescent="0.25">
      <c r="L148" s="197"/>
      <c r="M148" s="197"/>
    </row>
    <row r="149" spans="12:13" x14ac:dyDescent="0.25">
      <c r="L149" s="197"/>
      <c r="M149" s="197"/>
    </row>
    <row r="150" spans="12:13" x14ac:dyDescent="0.25">
      <c r="L150" s="197"/>
      <c r="M150" s="197"/>
    </row>
    <row r="151" spans="12:13" x14ac:dyDescent="0.25">
      <c r="L151" s="197"/>
      <c r="M151" s="197"/>
    </row>
    <row r="152" spans="12:13" x14ac:dyDescent="0.25">
      <c r="L152" s="197"/>
      <c r="M152" s="197"/>
    </row>
    <row r="153" spans="12:13" x14ac:dyDescent="0.25">
      <c r="L153" s="197"/>
      <c r="M153" s="197"/>
    </row>
    <row r="154" spans="12:13" x14ac:dyDescent="0.25">
      <c r="L154" s="197"/>
      <c r="M154" s="197"/>
    </row>
    <row r="155" spans="12:13" x14ac:dyDescent="0.25">
      <c r="L155" s="197"/>
      <c r="M155" s="197"/>
    </row>
    <row r="156" spans="12:13" x14ac:dyDescent="0.25">
      <c r="L156" s="197"/>
      <c r="M156" s="197"/>
    </row>
    <row r="157" spans="12:13" x14ac:dyDescent="0.25">
      <c r="L157" s="197"/>
      <c r="M157" s="197"/>
    </row>
    <row r="158" spans="12:13" x14ac:dyDescent="0.25">
      <c r="L158" s="197"/>
      <c r="M158" s="197"/>
    </row>
    <row r="159" spans="12:13" x14ac:dyDescent="0.25">
      <c r="L159" s="197"/>
      <c r="M159" s="197"/>
    </row>
    <row r="160" spans="12:13" x14ac:dyDescent="0.25">
      <c r="L160" s="197"/>
      <c r="M160" s="197"/>
    </row>
    <row r="161" spans="12:13" x14ac:dyDescent="0.25">
      <c r="L161" s="197"/>
      <c r="M161" s="197"/>
    </row>
    <row r="162" spans="12:13" x14ac:dyDescent="0.25">
      <c r="L162" s="197"/>
      <c r="M162" s="197"/>
    </row>
    <row r="163" spans="12:13" x14ac:dyDescent="0.25">
      <c r="L163" s="197"/>
      <c r="M163" s="197"/>
    </row>
    <row r="164" spans="12:13" x14ac:dyDescent="0.25">
      <c r="L164" s="197"/>
      <c r="M164" s="197"/>
    </row>
    <row r="165" spans="12:13" x14ac:dyDescent="0.25">
      <c r="L165" s="197"/>
      <c r="M165" s="197"/>
    </row>
    <row r="166" spans="12:13" x14ac:dyDescent="0.25">
      <c r="L166" s="197"/>
      <c r="M166" s="197"/>
    </row>
    <row r="167" spans="12:13" x14ac:dyDescent="0.25">
      <c r="L167" s="197"/>
      <c r="M167" s="197"/>
    </row>
    <row r="168" spans="12:13" x14ac:dyDescent="0.25">
      <c r="L168" s="197"/>
      <c r="M168" s="197"/>
    </row>
    <row r="169" spans="12:13" x14ac:dyDescent="0.25">
      <c r="L169" s="197"/>
      <c r="M169" s="197"/>
    </row>
    <row r="170" spans="12:13" x14ac:dyDescent="0.25">
      <c r="L170" s="197"/>
      <c r="M170" s="197"/>
    </row>
    <row r="171" spans="12:13" x14ac:dyDescent="0.25">
      <c r="L171" s="197"/>
      <c r="M171" s="197"/>
    </row>
    <row r="172" spans="12:13" x14ac:dyDescent="0.25">
      <c r="L172" s="197"/>
      <c r="M172" s="197"/>
    </row>
    <row r="173" spans="12:13" x14ac:dyDescent="0.25">
      <c r="L173" s="197"/>
      <c r="M173" s="197"/>
    </row>
    <row r="174" spans="12:13" x14ac:dyDescent="0.25">
      <c r="L174" s="197"/>
      <c r="M174" s="197"/>
    </row>
    <row r="175" spans="12:13" x14ac:dyDescent="0.25">
      <c r="L175" s="197"/>
      <c r="M175" s="197"/>
    </row>
    <row r="176" spans="12:13" x14ac:dyDescent="0.25">
      <c r="L176" s="197"/>
      <c r="M176" s="197"/>
    </row>
    <row r="177" spans="12:13" x14ac:dyDescent="0.25">
      <c r="L177" s="197"/>
      <c r="M177" s="197"/>
    </row>
    <row r="178" spans="12:13" x14ac:dyDescent="0.25">
      <c r="L178" s="197"/>
      <c r="M178" s="197"/>
    </row>
    <row r="179" spans="12:13" x14ac:dyDescent="0.25">
      <c r="L179" s="197"/>
      <c r="M179" s="197"/>
    </row>
    <row r="180" spans="12:13" x14ac:dyDescent="0.25">
      <c r="L180" s="197"/>
      <c r="M180" s="197"/>
    </row>
    <row r="181" spans="12:13" x14ac:dyDescent="0.25">
      <c r="L181" s="197"/>
      <c r="M181" s="197"/>
    </row>
    <row r="182" spans="12:13" x14ac:dyDescent="0.25">
      <c r="L182" s="197"/>
      <c r="M182" s="197"/>
    </row>
    <row r="183" spans="12:13" x14ac:dyDescent="0.25">
      <c r="L183" s="197"/>
      <c r="M183" s="197"/>
    </row>
    <row r="184" spans="12:13" x14ac:dyDescent="0.25">
      <c r="L184" s="197"/>
      <c r="M184" s="197"/>
    </row>
    <row r="185" spans="12:13" x14ac:dyDescent="0.25">
      <c r="L185" s="197"/>
      <c r="M185" s="197"/>
    </row>
    <row r="186" spans="12:13" x14ac:dyDescent="0.25">
      <c r="L186" s="197"/>
      <c r="M186" s="197"/>
    </row>
    <row r="187" spans="12:13" x14ac:dyDescent="0.25">
      <c r="L187" s="197"/>
      <c r="M187" s="197"/>
    </row>
    <row r="188" spans="12:13" x14ac:dyDescent="0.25">
      <c r="L188" s="197"/>
      <c r="M188" s="197"/>
    </row>
    <row r="189" spans="12:13" x14ac:dyDescent="0.25">
      <c r="L189" s="197"/>
      <c r="M189" s="197"/>
    </row>
    <row r="190" spans="12:13" x14ac:dyDescent="0.25">
      <c r="L190" s="197"/>
      <c r="M190" s="197"/>
    </row>
    <row r="191" spans="12:13" x14ac:dyDescent="0.25">
      <c r="L191" s="197"/>
      <c r="M191" s="197"/>
    </row>
    <row r="192" spans="12:13" x14ac:dyDescent="0.25">
      <c r="L192" s="197"/>
      <c r="M192" s="197"/>
    </row>
    <row r="193" spans="12:13" x14ac:dyDescent="0.25">
      <c r="L193" s="197"/>
      <c r="M193" s="197"/>
    </row>
    <row r="194" spans="12:13" x14ac:dyDescent="0.25">
      <c r="L194" s="197"/>
      <c r="M194" s="197"/>
    </row>
    <row r="195" spans="12:13" x14ac:dyDescent="0.25">
      <c r="L195" s="197"/>
      <c r="M195" s="197"/>
    </row>
    <row r="196" spans="12:13" x14ac:dyDescent="0.25">
      <c r="L196" s="197"/>
      <c r="M196" s="197"/>
    </row>
    <row r="197" spans="12:13" x14ac:dyDescent="0.25">
      <c r="L197" s="197"/>
      <c r="M197" s="197"/>
    </row>
    <row r="198" spans="12:13" x14ac:dyDescent="0.25">
      <c r="L198" s="197"/>
      <c r="M198" s="197"/>
    </row>
    <row r="199" spans="12:13" x14ac:dyDescent="0.25">
      <c r="L199" s="197"/>
      <c r="M199" s="197"/>
    </row>
    <row r="200" spans="12:13" x14ac:dyDescent="0.25">
      <c r="L200" s="197"/>
      <c r="M200" s="197"/>
    </row>
    <row r="201" spans="12:13" x14ac:dyDescent="0.25">
      <c r="L201" s="197"/>
      <c r="M201" s="197"/>
    </row>
    <row r="202" spans="12:13" x14ac:dyDescent="0.25">
      <c r="L202" s="197"/>
      <c r="M202" s="197"/>
    </row>
    <row r="203" spans="12:13" x14ac:dyDescent="0.25">
      <c r="L203" s="197"/>
      <c r="M203" s="197"/>
    </row>
    <row r="204" spans="12:13" x14ac:dyDescent="0.25">
      <c r="L204" s="197"/>
      <c r="M204" s="197"/>
    </row>
    <row r="205" spans="12:13" x14ac:dyDescent="0.25">
      <c r="L205" s="197"/>
      <c r="M205" s="197"/>
    </row>
    <row r="206" spans="12:13" x14ac:dyDescent="0.25">
      <c r="L206" s="197"/>
      <c r="M206" s="197"/>
    </row>
    <row r="207" spans="12:13" x14ac:dyDescent="0.25">
      <c r="L207" s="197"/>
      <c r="M207" s="197"/>
    </row>
    <row r="208" spans="12:13" x14ac:dyDescent="0.25">
      <c r="L208" s="197"/>
      <c r="M208" s="197"/>
    </row>
    <row r="209" spans="12:13" x14ac:dyDescent="0.25">
      <c r="L209" s="197"/>
      <c r="M209" s="197"/>
    </row>
    <row r="210" spans="12:13" x14ac:dyDescent="0.25">
      <c r="L210" s="197"/>
      <c r="M210" s="197"/>
    </row>
    <row r="211" spans="12:13" x14ac:dyDescent="0.25">
      <c r="L211" s="197"/>
      <c r="M211" s="197"/>
    </row>
    <row r="212" spans="12:13" x14ac:dyDescent="0.25">
      <c r="L212" s="197"/>
      <c r="M212" s="197"/>
    </row>
    <row r="213" spans="12:13" x14ac:dyDescent="0.25">
      <c r="L213" s="197"/>
      <c r="M213" s="197"/>
    </row>
    <row r="214" spans="12:13" x14ac:dyDescent="0.25">
      <c r="L214" s="197"/>
      <c r="M214" s="197"/>
    </row>
    <row r="215" spans="12:13" x14ac:dyDescent="0.25">
      <c r="L215" s="197"/>
      <c r="M215" s="197"/>
    </row>
    <row r="216" spans="12:13" x14ac:dyDescent="0.25">
      <c r="L216" s="197"/>
      <c r="M216" s="197"/>
    </row>
    <row r="217" spans="12:13" x14ac:dyDescent="0.25">
      <c r="L217" s="197"/>
      <c r="M217" s="197"/>
    </row>
    <row r="218" spans="12:13" x14ac:dyDescent="0.25">
      <c r="L218" s="197"/>
      <c r="M218" s="197"/>
    </row>
    <row r="219" spans="12:13" x14ac:dyDescent="0.25">
      <c r="L219" s="197"/>
      <c r="M219" s="197"/>
    </row>
    <row r="220" spans="12:13" x14ac:dyDescent="0.25">
      <c r="L220" s="197"/>
      <c r="M220" s="197"/>
    </row>
    <row r="221" spans="12:13" x14ac:dyDescent="0.25">
      <c r="L221" s="197"/>
      <c r="M221" s="197"/>
    </row>
    <row r="222" spans="12:13" x14ac:dyDescent="0.25">
      <c r="L222" s="197"/>
      <c r="M222" s="197"/>
    </row>
    <row r="223" spans="12:13" x14ac:dyDescent="0.25">
      <c r="L223" s="197"/>
      <c r="M223" s="197"/>
    </row>
    <row r="224" spans="12:13" x14ac:dyDescent="0.25">
      <c r="L224" s="197"/>
      <c r="M224" s="197"/>
    </row>
    <row r="225" spans="12:13" x14ac:dyDescent="0.25">
      <c r="L225" s="197"/>
      <c r="M225" s="197"/>
    </row>
    <row r="226" spans="12:13" x14ac:dyDescent="0.25">
      <c r="L226" s="197"/>
      <c r="M226" s="197"/>
    </row>
    <row r="227" spans="12:13" x14ac:dyDescent="0.25">
      <c r="L227" s="197"/>
      <c r="M227" s="197"/>
    </row>
    <row r="228" spans="12:13" x14ac:dyDescent="0.25">
      <c r="L228" s="197"/>
      <c r="M228" s="197"/>
    </row>
    <row r="229" spans="12:13" x14ac:dyDescent="0.25">
      <c r="L229" s="197"/>
      <c r="M229" s="197"/>
    </row>
    <row r="230" spans="12:13" x14ac:dyDescent="0.25">
      <c r="L230" s="197"/>
      <c r="M230" s="197"/>
    </row>
    <row r="231" spans="12:13" x14ac:dyDescent="0.25">
      <c r="L231" s="197"/>
      <c r="M231" s="197"/>
    </row>
    <row r="232" spans="12:13" x14ac:dyDescent="0.25">
      <c r="L232" s="197"/>
      <c r="M232" s="197"/>
    </row>
    <row r="233" spans="12:13" x14ac:dyDescent="0.25">
      <c r="L233" s="197"/>
      <c r="M233" s="197"/>
    </row>
    <row r="234" spans="12:13" x14ac:dyDescent="0.25">
      <c r="L234" s="197"/>
      <c r="M234" s="197"/>
    </row>
    <row r="235" spans="12:13" x14ac:dyDescent="0.25">
      <c r="L235" s="197"/>
      <c r="M235" s="197"/>
    </row>
    <row r="236" spans="12:13" x14ac:dyDescent="0.25">
      <c r="L236" s="197"/>
      <c r="M236" s="197"/>
    </row>
    <row r="237" spans="12:13" x14ac:dyDescent="0.25">
      <c r="L237" s="197"/>
      <c r="M237" s="197"/>
    </row>
    <row r="238" spans="12:13" x14ac:dyDescent="0.25">
      <c r="L238" s="197"/>
      <c r="M238" s="197"/>
    </row>
    <row r="239" spans="12:13" x14ac:dyDescent="0.25">
      <c r="L239" s="197"/>
      <c r="M239" s="197"/>
    </row>
    <row r="240" spans="12:13" x14ac:dyDescent="0.25">
      <c r="L240" s="197"/>
      <c r="M240" s="197"/>
    </row>
    <row r="241" spans="12:13" x14ac:dyDescent="0.25">
      <c r="L241" s="197"/>
      <c r="M241" s="197"/>
    </row>
    <row r="242" spans="12:13" x14ac:dyDescent="0.25">
      <c r="L242" s="197"/>
      <c r="M242" s="197"/>
    </row>
    <row r="243" spans="12:13" x14ac:dyDescent="0.25">
      <c r="L243" s="197"/>
      <c r="M243" s="197"/>
    </row>
    <row r="244" spans="12:13" x14ac:dyDescent="0.25">
      <c r="L244" s="197"/>
      <c r="M244" s="197"/>
    </row>
    <row r="245" spans="12:13" x14ac:dyDescent="0.25">
      <c r="L245" s="197"/>
      <c r="M245" s="197"/>
    </row>
    <row r="246" spans="12:13" x14ac:dyDescent="0.25">
      <c r="L246" s="197"/>
      <c r="M246" s="197"/>
    </row>
    <row r="247" spans="12:13" x14ac:dyDescent="0.25">
      <c r="L247" s="197"/>
      <c r="M247" s="197"/>
    </row>
    <row r="248" spans="12:13" x14ac:dyDescent="0.25">
      <c r="L248" s="197"/>
      <c r="M248" s="197"/>
    </row>
    <row r="249" spans="12:13" x14ac:dyDescent="0.25">
      <c r="L249" s="197"/>
      <c r="M249" s="197"/>
    </row>
    <row r="250" spans="12:13" x14ac:dyDescent="0.25">
      <c r="L250" s="197"/>
      <c r="M250" s="197"/>
    </row>
    <row r="251" spans="12:13" x14ac:dyDescent="0.25">
      <c r="L251" s="197"/>
      <c r="M251" s="197"/>
    </row>
    <row r="252" spans="12:13" x14ac:dyDescent="0.25">
      <c r="L252" s="197"/>
      <c r="M252" s="197"/>
    </row>
    <row r="253" spans="12:13" x14ac:dyDescent="0.25">
      <c r="L253" s="197"/>
      <c r="M253" s="197"/>
    </row>
    <row r="254" spans="12:13" x14ac:dyDescent="0.25">
      <c r="L254" s="197"/>
      <c r="M254" s="197"/>
    </row>
    <row r="255" spans="12:13" x14ac:dyDescent="0.25">
      <c r="L255" s="197"/>
      <c r="M255" s="197"/>
    </row>
    <row r="256" spans="12:13" x14ac:dyDescent="0.25">
      <c r="L256" s="197"/>
      <c r="M256" s="197"/>
    </row>
    <row r="257" spans="12:13" x14ac:dyDescent="0.25">
      <c r="L257" s="197"/>
      <c r="M257" s="197"/>
    </row>
    <row r="258" spans="12:13" x14ac:dyDescent="0.25">
      <c r="L258" s="197"/>
      <c r="M258" s="197"/>
    </row>
    <row r="259" spans="12:13" x14ac:dyDescent="0.25">
      <c r="L259" s="197"/>
      <c r="M259" s="197"/>
    </row>
    <row r="260" spans="12:13" x14ac:dyDescent="0.25">
      <c r="L260" s="197"/>
      <c r="M260" s="197"/>
    </row>
    <row r="261" spans="12:13" x14ac:dyDescent="0.25">
      <c r="L261" s="197"/>
      <c r="M261" s="197"/>
    </row>
    <row r="262" spans="12:13" x14ac:dyDescent="0.25">
      <c r="L262" s="197"/>
      <c r="M262" s="197"/>
    </row>
    <row r="263" spans="12:13" x14ac:dyDescent="0.25">
      <c r="L263" s="197"/>
      <c r="M263" s="197"/>
    </row>
    <row r="264" spans="12:13" x14ac:dyDescent="0.25">
      <c r="L264" s="197"/>
      <c r="M264" s="197"/>
    </row>
    <row r="265" spans="12:13" x14ac:dyDescent="0.25">
      <c r="L265" s="197"/>
      <c r="M265" s="197"/>
    </row>
    <row r="266" spans="12:13" x14ac:dyDescent="0.25">
      <c r="L266" s="197"/>
      <c r="M266" s="197"/>
    </row>
    <row r="267" spans="12:13" x14ac:dyDescent="0.25">
      <c r="L267" s="197"/>
      <c r="M267" s="197"/>
    </row>
    <row r="268" spans="12:13" x14ac:dyDescent="0.25">
      <c r="L268" s="197"/>
      <c r="M268" s="197"/>
    </row>
    <row r="269" spans="12:13" x14ac:dyDescent="0.25">
      <c r="L269" s="197"/>
      <c r="M269" s="197"/>
    </row>
    <row r="270" spans="12:13" x14ac:dyDescent="0.25">
      <c r="L270" s="197"/>
      <c r="M270" s="197"/>
    </row>
    <row r="271" spans="12:13" x14ac:dyDescent="0.25">
      <c r="L271" s="197"/>
      <c r="M271" s="197"/>
    </row>
    <row r="272" spans="12:13" x14ac:dyDescent="0.25">
      <c r="L272" s="197"/>
      <c r="M272" s="197"/>
    </row>
    <row r="273" spans="12:13" x14ac:dyDescent="0.25">
      <c r="L273" s="197"/>
      <c r="M273" s="197"/>
    </row>
    <row r="274" spans="12:13" x14ac:dyDescent="0.25">
      <c r="L274" s="197"/>
      <c r="M274" s="197"/>
    </row>
    <row r="275" spans="12:13" x14ac:dyDescent="0.25">
      <c r="L275" s="197"/>
      <c r="M275" s="197"/>
    </row>
    <row r="276" spans="12:13" x14ac:dyDescent="0.25">
      <c r="L276" s="197"/>
      <c r="M276" s="197"/>
    </row>
    <row r="277" spans="12:13" x14ac:dyDescent="0.25">
      <c r="L277" s="197"/>
      <c r="M277" s="197"/>
    </row>
    <row r="278" spans="12:13" x14ac:dyDescent="0.25">
      <c r="L278" s="197"/>
    </row>
    <row r="279" spans="12:13" x14ac:dyDescent="0.25">
      <c r="L279" s="197"/>
    </row>
    <row r="280" spans="12:13" x14ac:dyDescent="0.25">
      <c r="L280" s="197"/>
    </row>
    <row r="281" spans="12:13" x14ac:dyDescent="0.25">
      <c r="L281" s="197"/>
    </row>
    <row r="282" spans="12:13" x14ac:dyDescent="0.25">
      <c r="L282" s="197"/>
    </row>
    <row r="283" spans="12:13" x14ac:dyDescent="0.25">
      <c r="L283" s="197"/>
    </row>
    <row r="284" spans="12:13" x14ac:dyDescent="0.25">
      <c r="L284" s="197"/>
    </row>
    <row r="285" spans="12:13" x14ac:dyDescent="0.25">
      <c r="L285" s="197"/>
    </row>
    <row r="286" spans="12:13" x14ac:dyDescent="0.25">
      <c r="L286" s="197"/>
    </row>
    <row r="287" spans="12:13" x14ac:dyDescent="0.25">
      <c r="L287" s="197"/>
    </row>
    <row r="288" spans="12:13" x14ac:dyDescent="0.25">
      <c r="L288" s="197"/>
    </row>
    <row r="289" spans="12:12" x14ac:dyDescent="0.25">
      <c r="L289" s="197"/>
    </row>
    <row r="290" spans="12:12" x14ac:dyDescent="0.25">
      <c r="L290" s="197"/>
    </row>
    <row r="291" spans="12:12" x14ac:dyDescent="0.25">
      <c r="L291" s="197"/>
    </row>
    <row r="292" spans="12:12" x14ac:dyDescent="0.25">
      <c r="L292" s="197"/>
    </row>
    <row r="293" spans="12:12" x14ac:dyDescent="0.25">
      <c r="L293" s="197"/>
    </row>
    <row r="294" spans="12:12" x14ac:dyDescent="0.25">
      <c r="L294" s="197"/>
    </row>
    <row r="295" spans="12:12" x14ac:dyDescent="0.25">
      <c r="L295" s="197"/>
    </row>
    <row r="296" spans="12:12" x14ac:dyDescent="0.25">
      <c r="L296" s="197"/>
    </row>
    <row r="297" spans="12:12" x14ac:dyDescent="0.25">
      <c r="L297" s="197"/>
    </row>
    <row r="298" spans="12:12" x14ac:dyDescent="0.25">
      <c r="L298" s="197"/>
    </row>
    <row r="299" spans="12:12" x14ac:dyDescent="0.25">
      <c r="L299" s="197"/>
    </row>
    <row r="300" spans="12:12" x14ac:dyDescent="0.25">
      <c r="L300" s="197"/>
    </row>
    <row r="301" spans="12:12" x14ac:dyDescent="0.25">
      <c r="L301" s="197"/>
    </row>
    <row r="302" spans="12:12" x14ac:dyDescent="0.25">
      <c r="L302" s="197"/>
    </row>
    <row r="303" spans="12:12" x14ac:dyDescent="0.25">
      <c r="L303" s="197"/>
    </row>
    <row r="304" spans="12:12" x14ac:dyDescent="0.25">
      <c r="L304" s="197"/>
    </row>
    <row r="305" spans="12:12" x14ac:dyDescent="0.25">
      <c r="L305" s="197"/>
    </row>
    <row r="306" spans="12:12" x14ac:dyDescent="0.25">
      <c r="L306" s="197"/>
    </row>
    <row r="307" spans="12:12" x14ac:dyDescent="0.25">
      <c r="L307" s="197"/>
    </row>
    <row r="308" spans="12:12" x14ac:dyDescent="0.25">
      <c r="L308" s="197"/>
    </row>
    <row r="309" spans="12:12" x14ac:dyDescent="0.25">
      <c r="L309" s="197"/>
    </row>
    <row r="310" spans="12:12" x14ac:dyDescent="0.25">
      <c r="L310" s="197"/>
    </row>
    <row r="311" spans="12:12" x14ac:dyDescent="0.25">
      <c r="L311" s="197"/>
    </row>
    <row r="312" spans="12:12" x14ac:dyDescent="0.25">
      <c r="L312" s="197"/>
    </row>
    <row r="313" spans="12:12" x14ac:dyDescent="0.25">
      <c r="L313" s="197"/>
    </row>
    <row r="314" spans="12:12" x14ac:dyDescent="0.25">
      <c r="L314" s="197"/>
    </row>
    <row r="315" spans="12:12" x14ac:dyDescent="0.25">
      <c r="L315" s="197"/>
    </row>
    <row r="316" spans="12:12" x14ac:dyDescent="0.25">
      <c r="L316" s="197"/>
    </row>
    <row r="317" spans="12:12" x14ac:dyDescent="0.25">
      <c r="L317" s="197"/>
    </row>
    <row r="318" spans="12:12" x14ac:dyDescent="0.25">
      <c r="L318" s="197"/>
    </row>
    <row r="319" spans="12:12" x14ac:dyDescent="0.25">
      <c r="L319" s="197"/>
    </row>
    <row r="320" spans="12:12" x14ac:dyDescent="0.25">
      <c r="L320" s="197"/>
    </row>
    <row r="321" spans="12:12" x14ac:dyDescent="0.25">
      <c r="L321" s="197"/>
    </row>
    <row r="322" spans="12:12" x14ac:dyDescent="0.25">
      <c r="L322" s="197"/>
    </row>
    <row r="323" spans="12:12" x14ac:dyDescent="0.25">
      <c r="L323" s="197"/>
    </row>
    <row r="324" spans="12:12" x14ac:dyDescent="0.25">
      <c r="L324" s="197"/>
    </row>
    <row r="325" spans="12:12" x14ac:dyDescent="0.25">
      <c r="L325" s="197"/>
    </row>
    <row r="326" spans="12:12" x14ac:dyDescent="0.25">
      <c r="L326" s="197"/>
    </row>
    <row r="327" spans="12:12" x14ac:dyDescent="0.25">
      <c r="L327" s="197"/>
    </row>
    <row r="328" spans="12:12" x14ac:dyDescent="0.25">
      <c r="L328" s="197"/>
    </row>
    <row r="329" spans="12:12" x14ac:dyDescent="0.25">
      <c r="L329" s="197"/>
    </row>
    <row r="330" spans="12:12" x14ac:dyDescent="0.25">
      <c r="L330" s="197"/>
    </row>
    <row r="331" spans="12:12" x14ac:dyDescent="0.25">
      <c r="L331" s="197"/>
    </row>
    <row r="332" spans="12:12" x14ac:dyDescent="0.25">
      <c r="L332" s="197"/>
    </row>
    <row r="333" spans="12:12" x14ac:dyDescent="0.25">
      <c r="L333" s="197"/>
    </row>
    <row r="334" spans="12:12" x14ac:dyDescent="0.25">
      <c r="L334" s="197"/>
    </row>
    <row r="335" spans="12:12" x14ac:dyDescent="0.25">
      <c r="L335" s="197"/>
    </row>
    <row r="336" spans="12:12" x14ac:dyDescent="0.25">
      <c r="L336" s="197"/>
    </row>
    <row r="337" spans="12:12" x14ac:dyDescent="0.25">
      <c r="L337" s="197"/>
    </row>
    <row r="338" spans="12:12" x14ac:dyDescent="0.25">
      <c r="L338" s="197"/>
    </row>
    <row r="339" spans="12:12" x14ac:dyDescent="0.25">
      <c r="L339" s="197"/>
    </row>
    <row r="340" spans="12:12" x14ac:dyDescent="0.25">
      <c r="L340" s="197"/>
    </row>
    <row r="341" spans="12:12" x14ac:dyDescent="0.25">
      <c r="L341" s="197"/>
    </row>
    <row r="342" spans="12:12" x14ac:dyDescent="0.25">
      <c r="L342" s="197"/>
    </row>
    <row r="343" spans="12:12" x14ac:dyDescent="0.25">
      <c r="L343" s="197"/>
    </row>
    <row r="344" spans="12:12" x14ac:dyDescent="0.25">
      <c r="L344" s="197"/>
    </row>
    <row r="345" spans="12:12" x14ac:dyDescent="0.25">
      <c r="L345" s="197"/>
    </row>
    <row r="346" spans="12:12" x14ac:dyDescent="0.25">
      <c r="L346" s="197"/>
    </row>
    <row r="347" spans="12:12" x14ac:dyDescent="0.25">
      <c r="L347" s="197"/>
    </row>
    <row r="348" spans="12:12" x14ac:dyDescent="0.25">
      <c r="L348" s="197"/>
    </row>
    <row r="349" spans="12:12" x14ac:dyDescent="0.25">
      <c r="L349" s="197"/>
    </row>
    <row r="350" spans="12:12" x14ac:dyDescent="0.25">
      <c r="L350" s="197"/>
    </row>
    <row r="351" spans="12:12" x14ac:dyDescent="0.25">
      <c r="L351" s="197"/>
    </row>
    <row r="352" spans="12:12" x14ac:dyDescent="0.25">
      <c r="L352" s="197"/>
    </row>
    <row r="353" spans="12:12" x14ac:dyDescent="0.25">
      <c r="L353" s="197"/>
    </row>
    <row r="354" spans="12:12" x14ac:dyDescent="0.25">
      <c r="L354" s="197"/>
    </row>
    <row r="355" spans="12:12" x14ac:dyDescent="0.25">
      <c r="L355" s="197"/>
    </row>
    <row r="356" spans="12:12" x14ac:dyDescent="0.25">
      <c r="L356" s="197"/>
    </row>
    <row r="357" spans="12:12" x14ac:dyDescent="0.25">
      <c r="L357" s="197"/>
    </row>
    <row r="358" spans="12:12" x14ac:dyDescent="0.25">
      <c r="L358" s="197"/>
    </row>
    <row r="359" spans="12:12" x14ac:dyDescent="0.25">
      <c r="L359" s="197"/>
    </row>
    <row r="360" spans="12:12" x14ac:dyDescent="0.25">
      <c r="L360" s="197"/>
    </row>
    <row r="361" spans="12:12" x14ac:dyDescent="0.25">
      <c r="L361" s="197"/>
    </row>
    <row r="362" spans="12:12" x14ac:dyDescent="0.25">
      <c r="L362" s="197"/>
    </row>
    <row r="363" spans="12:12" x14ac:dyDescent="0.25">
      <c r="L363" s="197"/>
    </row>
    <row r="364" spans="12:12" x14ac:dyDescent="0.25">
      <c r="L364" s="197"/>
    </row>
    <row r="365" spans="12:12" x14ac:dyDescent="0.25">
      <c r="L365" s="197"/>
    </row>
    <row r="366" spans="12:12" x14ac:dyDescent="0.25">
      <c r="L366" s="197"/>
    </row>
    <row r="367" spans="12:12" x14ac:dyDescent="0.25">
      <c r="L367" s="197"/>
    </row>
    <row r="368" spans="12:12" x14ac:dyDescent="0.25">
      <c r="L368" s="197"/>
    </row>
    <row r="369" spans="12:12" x14ac:dyDescent="0.25">
      <c r="L369" s="197"/>
    </row>
    <row r="370" spans="12:12" x14ac:dyDescent="0.25">
      <c r="L370" s="197"/>
    </row>
    <row r="371" spans="12:12" x14ac:dyDescent="0.25">
      <c r="L371" s="197"/>
    </row>
    <row r="372" spans="12:12" x14ac:dyDescent="0.25">
      <c r="L372" s="197"/>
    </row>
    <row r="373" spans="12:12" x14ac:dyDescent="0.25">
      <c r="L373" s="197"/>
    </row>
    <row r="374" spans="12:12" x14ac:dyDescent="0.25">
      <c r="L374" s="197"/>
    </row>
    <row r="375" spans="12:12" x14ac:dyDescent="0.25">
      <c r="L375" s="197"/>
    </row>
    <row r="376" spans="12:12" x14ac:dyDescent="0.25">
      <c r="L376" s="197"/>
    </row>
    <row r="377" spans="12:12" x14ac:dyDescent="0.25">
      <c r="L377" s="197"/>
    </row>
    <row r="378" spans="12:12" x14ac:dyDescent="0.25">
      <c r="L378" s="197"/>
    </row>
    <row r="379" spans="12:12" x14ac:dyDescent="0.25">
      <c r="L379" s="197"/>
    </row>
    <row r="380" spans="12:12" x14ac:dyDescent="0.25">
      <c r="L380" s="197"/>
    </row>
    <row r="381" spans="12:12" x14ac:dyDescent="0.25">
      <c r="L381" s="197"/>
    </row>
    <row r="382" spans="12:12" x14ac:dyDescent="0.25">
      <c r="L382" s="197"/>
    </row>
    <row r="383" spans="12:12" x14ac:dyDescent="0.25">
      <c r="L383" s="197"/>
    </row>
    <row r="384" spans="12:12" x14ac:dyDescent="0.25">
      <c r="L384" s="197"/>
    </row>
    <row r="385" spans="12:12" x14ac:dyDescent="0.25">
      <c r="L385" s="197"/>
    </row>
    <row r="386" spans="12:12" x14ac:dyDescent="0.25">
      <c r="L386" s="197"/>
    </row>
    <row r="387" spans="12:12" x14ac:dyDescent="0.25">
      <c r="L387" s="197"/>
    </row>
    <row r="388" spans="12:12" x14ac:dyDescent="0.25">
      <c r="L388" s="197"/>
    </row>
    <row r="389" spans="12:12" x14ac:dyDescent="0.25">
      <c r="L389" s="197"/>
    </row>
    <row r="390" spans="12:12" x14ac:dyDescent="0.25">
      <c r="L390" s="197"/>
    </row>
  </sheetData>
  <mergeCells count="206">
    <mergeCell ref="F124:K124"/>
    <mergeCell ref="T124:V124"/>
    <mergeCell ref="F125:K125"/>
    <mergeCell ref="T125:V125"/>
    <mergeCell ref="F126:K126"/>
    <mergeCell ref="T126:V126"/>
    <mergeCell ref="F121:K121"/>
    <mergeCell ref="T121:V121"/>
    <mergeCell ref="F122:K122"/>
    <mergeCell ref="T122:V122"/>
    <mergeCell ref="F123:K123"/>
    <mergeCell ref="T123:V123"/>
    <mergeCell ref="F130:K130"/>
    <mergeCell ref="T130:V130"/>
    <mergeCell ref="F131:K131"/>
    <mergeCell ref="T131:V131"/>
    <mergeCell ref="F132:K132"/>
    <mergeCell ref="T132:V132"/>
    <mergeCell ref="F127:K127"/>
    <mergeCell ref="T127:V127"/>
    <mergeCell ref="F128:K128"/>
    <mergeCell ref="T128:V128"/>
    <mergeCell ref="F129:K129"/>
    <mergeCell ref="T129:V129"/>
    <mergeCell ref="F118:K118"/>
    <mergeCell ref="T118:V118"/>
    <mergeCell ref="F119:K119"/>
    <mergeCell ref="T119:V119"/>
    <mergeCell ref="F120:K120"/>
    <mergeCell ref="T120:V120"/>
    <mergeCell ref="F115:K115"/>
    <mergeCell ref="T115:V115"/>
    <mergeCell ref="F116:K116"/>
    <mergeCell ref="T116:V116"/>
    <mergeCell ref="F117:K117"/>
    <mergeCell ref="T117:V117"/>
    <mergeCell ref="F112:K112"/>
    <mergeCell ref="T112:V112"/>
    <mergeCell ref="F113:K113"/>
    <mergeCell ref="T113:V113"/>
    <mergeCell ref="F114:K114"/>
    <mergeCell ref="T114:V114"/>
    <mergeCell ref="F109:K109"/>
    <mergeCell ref="T109:V109"/>
    <mergeCell ref="F110:K110"/>
    <mergeCell ref="T110:V110"/>
    <mergeCell ref="F111:K111"/>
    <mergeCell ref="T111:V111"/>
    <mergeCell ref="F106:K106"/>
    <mergeCell ref="T106:V106"/>
    <mergeCell ref="F107:K107"/>
    <mergeCell ref="T107:V107"/>
    <mergeCell ref="F108:K108"/>
    <mergeCell ref="T108:V108"/>
    <mergeCell ref="F103:K103"/>
    <mergeCell ref="T103:V103"/>
    <mergeCell ref="F104:K104"/>
    <mergeCell ref="T104:V104"/>
    <mergeCell ref="F105:K105"/>
    <mergeCell ref="T105:V105"/>
    <mergeCell ref="F100:K100"/>
    <mergeCell ref="T100:V100"/>
    <mergeCell ref="F101:K101"/>
    <mergeCell ref="T101:V101"/>
    <mergeCell ref="F102:K102"/>
    <mergeCell ref="T102:V102"/>
    <mergeCell ref="F97:K97"/>
    <mergeCell ref="T97:V97"/>
    <mergeCell ref="F98:K98"/>
    <mergeCell ref="T98:V98"/>
    <mergeCell ref="F99:K99"/>
    <mergeCell ref="T99:V99"/>
    <mergeCell ref="F94:K94"/>
    <mergeCell ref="T94:V94"/>
    <mergeCell ref="F95:K95"/>
    <mergeCell ref="T95:V95"/>
    <mergeCell ref="F96:K96"/>
    <mergeCell ref="T96:V96"/>
    <mergeCell ref="F91:K91"/>
    <mergeCell ref="T91:V91"/>
    <mergeCell ref="F92:K92"/>
    <mergeCell ref="T92:V92"/>
    <mergeCell ref="F93:K93"/>
    <mergeCell ref="T93:V93"/>
    <mergeCell ref="F89:K89"/>
    <mergeCell ref="F88:K88"/>
    <mergeCell ref="F90:K90"/>
    <mergeCell ref="T87:V87"/>
    <mergeCell ref="T89:V89"/>
    <mergeCell ref="T88:V88"/>
    <mergeCell ref="T90:V90"/>
    <mergeCell ref="X66:AB66"/>
    <mergeCell ref="X71:AD71"/>
    <mergeCell ref="X76:AD76"/>
    <mergeCell ref="T86:V86"/>
    <mergeCell ref="E86:K86"/>
    <mergeCell ref="X65:AB65"/>
    <mergeCell ref="AI65:AK65"/>
    <mergeCell ref="X60:AB60"/>
    <mergeCell ref="AI60:AK60"/>
    <mergeCell ref="X61:AB61"/>
    <mergeCell ref="AI61:AK61"/>
    <mergeCell ref="X62:AB62"/>
    <mergeCell ref="AI62:AK62"/>
    <mergeCell ref="F87:K87"/>
    <mergeCell ref="AH71:AJ71"/>
    <mergeCell ref="X72:AD72"/>
    <mergeCell ref="AH72:AJ72"/>
    <mergeCell ref="X73:AD73"/>
    <mergeCell ref="AH73:AJ73"/>
    <mergeCell ref="X74:AD74"/>
    <mergeCell ref="AH74:AJ74"/>
    <mergeCell ref="X75:AD75"/>
    <mergeCell ref="AH75:AJ75"/>
    <mergeCell ref="AH76:AJ76"/>
    <mergeCell ref="X77:AD77"/>
    <mergeCell ref="AH77:AJ77"/>
    <mergeCell ref="X78:AD78"/>
    <mergeCell ref="AH78:AJ78"/>
    <mergeCell ref="X79:AD79"/>
    <mergeCell ref="M57:O57"/>
    <mergeCell ref="R44:S44"/>
    <mergeCell ref="T44:V44"/>
    <mergeCell ref="A22:F22"/>
    <mergeCell ref="A23:F23"/>
    <mergeCell ref="A24:F24"/>
    <mergeCell ref="A26:K26"/>
    <mergeCell ref="M26:Z26"/>
    <mergeCell ref="A42:M42"/>
    <mergeCell ref="O42:P42"/>
    <mergeCell ref="R42:V42"/>
    <mergeCell ref="R43:S43"/>
    <mergeCell ref="T43:V43"/>
    <mergeCell ref="R48:S48"/>
    <mergeCell ref="T48:V48"/>
    <mergeCell ref="R45:S45"/>
    <mergeCell ref="T45:V45"/>
    <mergeCell ref="R46:S46"/>
    <mergeCell ref="T46:V46"/>
    <mergeCell ref="R47:S47"/>
    <mergeCell ref="T47:V47"/>
    <mergeCell ref="R11:S11"/>
    <mergeCell ref="A10:U10"/>
    <mergeCell ref="T11:U11"/>
    <mergeCell ref="AF11:AG11"/>
    <mergeCell ref="AH11:AI11"/>
    <mergeCell ref="A15:C15"/>
    <mergeCell ref="A16:C16"/>
    <mergeCell ref="AB26:AN26"/>
    <mergeCell ref="A20:F20"/>
    <mergeCell ref="A21:F21"/>
    <mergeCell ref="A19:F19"/>
    <mergeCell ref="H19:J19"/>
    <mergeCell ref="AJ11:AK11"/>
    <mergeCell ref="AL11:AM11"/>
    <mergeCell ref="A12:C12"/>
    <mergeCell ref="A13:C13"/>
    <mergeCell ref="A14:C14"/>
    <mergeCell ref="AI63:AK63"/>
    <mergeCell ref="X64:AB64"/>
    <mergeCell ref="AI64:AK64"/>
    <mergeCell ref="AI1:AO1"/>
    <mergeCell ref="J3:M3"/>
    <mergeCell ref="J4:M4"/>
    <mergeCell ref="J5:M5"/>
    <mergeCell ref="J6:M6"/>
    <mergeCell ref="J2:M2"/>
    <mergeCell ref="A1:M1"/>
    <mergeCell ref="N1:T1"/>
    <mergeCell ref="U1:AA1"/>
    <mergeCell ref="AB1:AH1"/>
    <mergeCell ref="J7:M7"/>
    <mergeCell ref="AN11:AO11"/>
    <mergeCell ref="W10:AD10"/>
    <mergeCell ref="AF10:AO10"/>
    <mergeCell ref="D11:E11"/>
    <mergeCell ref="F11:G11"/>
    <mergeCell ref="H11:I11"/>
    <mergeCell ref="J11:K11"/>
    <mergeCell ref="L11:M11"/>
    <mergeCell ref="N11:O11"/>
    <mergeCell ref="P11:Q11"/>
    <mergeCell ref="AH79:AJ79"/>
    <mergeCell ref="X80:AD80"/>
    <mergeCell ref="AH80:AJ80"/>
    <mergeCell ref="AI44:AJ44"/>
    <mergeCell ref="AI43:AJ43"/>
    <mergeCell ref="AK43:AL43"/>
    <mergeCell ref="AK44:AL44"/>
    <mergeCell ref="AK45:AL45"/>
    <mergeCell ref="AK46:AL46"/>
    <mergeCell ref="AK47:AL47"/>
    <mergeCell ref="X70:AD70"/>
    <mergeCell ref="AH69:AJ69"/>
    <mergeCell ref="X69:AD69"/>
    <mergeCell ref="AH70:AJ70"/>
    <mergeCell ref="AI57:AK57"/>
    <mergeCell ref="X58:AB58"/>
    <mergeCell ref="AI58:AK58"/>
    <mergeCell ref="X59:AB59"/>
    <mergeCell ref="AI59:AK59"/>
    <mergeCell ref="AI47:AJ47"/>
    <mergeCell ref="AI46:AJ46"/>
    <mergeCell ref="AI45:AJ45"/>
    <mergeCell ref="AI66:AK66"/>
    <mergeCell ref="X63:AB6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pane ySplit="2" topLeftCell="A3" activePane="bottomLeft" state="frozen"/>
      <selection pane="bottomLeft" activeCell="S9" sqref="S9"/>
    </sheetView>
  </sheetViews>
  <sheetFormatPr defaultColWidth="3.42578125" defaultRowHeight="15" x14ac:dyDescent="0.25"/>
  <cols>
    <col min="1" max="1" width="3.42578125" style="1"/>
  </cols>
  <sheetData>
    <row r="1" spans="1:36" s="81" customFormat="1" x14ac:dyDescent="0.25">
      <c r="A1" s="241" t="s">
        <v>238</v>
      </c>
      <c r="B1" s="241"/>
      <c r="C1" s="251">
        <f>'0. Sheet'!$P$1</f>
        <v>0</v>
      </c>
      <c r="D1" s="251"/>
      <c r="E1" s="251"/>
      <c r="F1" s="251"/>
      <c r="G1" s="251"/>
      <c r="H1" s="7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7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7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7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79" t="s">
        <v>56</v>
      </c>
    </row>
    <row r="2" spans="1:36" s="81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7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7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7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79" t="s">
        <v>56</v>
      </c>
      <c r="AJ2" s="79" t="s">
        <v>56</v>
      </c>
    </row>
    <row r="3" spans="1:36" s="124" customFormat="1" x14ac:dyDescent="0.25">
      <c r="A3" s="134"/>
      <c r="B3" s="134"/>
      <c r="C3" s="134"/>
      <c r="D3" s="134"/>
      <c r="E3" s="134"/>
      <c r="F3" s="120"/>
      <c r="G3" s="120"/>
      <c r="H3" s="129"/>
      <c r="I3" s="127"/>
      <c r="J3" s="127"/>
      <c r="K3" s="127"/>
      <c r="L3" s="127"/>
      <c r="M3" s="120"/>
      <c r="N3" s="120"/>
      <c r="O3" s="129"/>
      <c r="P3" s="127"/>
      <c r="Q3" s="127"/>
      <c r="R3" s="119"/>
      <c r="S3" s="119"/>
      <c r="T3" s="119"/>
      <c r="U3" s="119"/>
      <c r="V3" s="129"/>
      <c r="AC3" s="129"/>
      <c r="AJ3" s="129"/>
    </row>
  </sheetData>
  <mergeCells count="18">
    <mergeCell ref="A2:E2"/>
    <mergeCell ref="F2:G2"/>
    <mergeCell ref="I2:L2"/>
    <mergeCell ref="M2:N2"/>
    <mergeCell ref="W2:Z2"/>
    <mergeCell ref="A1:B1"/>
    <mergeCell ref="C1:G1"/>
    <mergeCell ref="I1:K1"/>
    <mergeCell ref="L1:N1"/>
    <mergeCell ref="P1:S1"/>
    <mergeCell ref="AD1:AG1"/>
    <mergeCell ref="AH1:AI1"/>
    <mergeCell ref="AA2:AB2"/>
    <mergeCell ref="P2:Q2"/>
    <mergeCell ref="R2:U2"/>
    <mergeCell ref="T1:U1"/>
    <mergeCell ref="W1:Z1"/>
    <mergeCell ref="AA1:A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"/>
  <sheetViews>
    <sheetView workbookViewId="0">
      <selection sqref="A1:O2"/>
    </sheetView>
  </sheetViews>
  <sheetFormatPr defaultColWidth="1.7109375" defaultRowHeight="10.5" customHeight="1" x14ac:dyDescent="0.25"/>
  <cols>
    <col min="1" max="16384" width="1.7109375" style="115"/>
  </cols>
  <sheetData>
    <row r="1" spans="1:103" ht="10.5" customHeight="1" x14ac:dyDescent="0.2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20"/>
      <c r="Q1" s="221"/>
      <c r="R1" s="221"/>
      <c r="S1" s="221"/>
      <c r="T1" s="221"/>
      <c r="U1" s="221"/>
      <c r="V1" s="221"/>
      <c r="W1" s="221"/>
      <c r="X1" s="221"/>
      <c r="Y1" s="221"/>
      <c r="Z1" s="222"/>
      <c r="AA1" s="217"/>
      <c r="AB1" s="217"/>
      <c r="AC1" s="217"/>
      <c r="AD1" s="217"/>
      <c r="AE1" s="217">
        <f>'1. Priorities'!Q4</f>
        <v>0</v>
      </c>
      <c r="AF1" s="217"/>
      <c r="AG1" s="217"/>
      <c r="AH1" s="217"/>
      <c r="AI1" s="217"/>
      <c r="AJ1" s="217"/>
      <c r="BB1" s="216" t="s">
        <v>587</v>
      </c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</row>
    <row r="2" spans="1:103" ht="10.5" customHeight="1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23"/>
      <c r="Q2" s="224"/>
      <c r="R2" s="224"/>
      <c r="S2" s="224"/>
      <c r="T2" s="224"/>
      <c r="U2" s="224"/>
      <c r="V2" s="224"/>
      <c r="W2" s="224"/>
      <c r="X2" s="224"/>
      <c r="Y2" s="224"/>
      <c r="Z2" s="225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</row>
    <row r="3" spans="1:103" ht="10.5" customHeight="1" x14ac:dyDescent="0.25">
      <c r="A3" s="219" t="s">
        <v>236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 t="s">
        <v>237</v>
      </c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3" t="s">
        <v>246</v>
      </c>
      <c r="AB3" s="213"/>
      <c r="AC3" s="213"/>
      <c r="AD3" s="213"/>
      <c r="AE3" s="213" t="s">
        <v>25</v>
      </c>
      <c r="AF3" s="213"/>
      <c r="AG3" s="213"/>
      <c r="AH3" s="213"/>
      <c r="AI3" s="213"/>
      <c r="AJ3" s="213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</row>
    <row r="4" spans="1:103" ht="10.5" customHeight="1" x14ac:dyDescent="0.25"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</row>
    <row r="5" spans="1:103" ht="10.5" customHeight="1" x14ac:dyDescent="0.25">
      <c r="A5" s="214" t="e">
        <f>IF(ISBLANK('2. Attributes'!J6), '2. Attributes'!R6, ('2. Attributes'!D6+'2. Attributes'!M6)&amp;"("&amp;'2. Attributes'!R6&amp;")")</f>
        <v>#N/A</v>
      </c>
      <c r="B5" s="214"/>
      <c r="C5" s="214"/>
      <c r="D5" s="214"/>
      <c r="E5" s="215"/>
      <c r="F5" s="214" t="e">
        <f>IF(ISBLANK('2. Attributes'!J10), '2. Attributes'!R10, ('2. Attributes'!D10+'2. Attributes'!M10)&amp;"("&amp;'2. Attributes'!R10&amp;")")</f>
        <v>#N/A</v>
      </c>
      <c r="G5" s="214"/>
      <c r="H5" s="214"/>
      <c r="I5" s="214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</row>
    <row r="6" spans="1:103" ht="10.5" customHeight="1" x14ac:dyDescent="0.25">
      <c r="A6" s="214"/>
      <c r="B6" s="214"/>
      <c r="C6" s="214"/>
      <c r="D6" s="214"/>
      <c r="E6" s="215"/>
      <c r="F6" s="214"/>
      <c r="G6" s="214"/>
      <c r="H6" s="214"/>
      <c r="I6" s="214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</row>
    <row r="7" spans="1:103" ht="10.5" customHeight="1" x14ac:dyDescent="0.25">
      <c r="A7" s="213" t="s">
        <v>190</v>
      </c>
      <c r="B7" s="213"/>
      <c r="C7" s="213"/>
      <c r="D7" s="213"/>
      <c r="E7" s="215"/>
      <c r="F7" s="213" t="s">
        <v>194</v>
      </c>
      <c r="G7" s="213"/>
      <c r="H7" s="213"/>
      <c r="I7" s="213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</row>
    <row r="8" spans="1:103" ht="10.5" customHeight="1" x14ac:dyDescent="0.25">
      <c r="A8" s="214" t="e">
        <f>IF(ISBLANK('2. Attributes'!J7), '2. Attributes'!R7, ('2. Attributes'!D7+'2. Attributes'!M7)&amp;"("&amp;'2. Attributes'!R7&amp;")")</f>
        <v>#N/A</v>
      </c>
      <c r="B8" s="214"/>
      <c r="C8" s="214"/>
      <c r="D8" s="214"/>
      <c r="E8" s="215"/>
      <c r="F8" s="214" t="e">
        <f>IF(ISBLANK('2. Attributes'!J11), '2. Attributes'!R11, ('2. Attributes'!D11+'2. Attributes'!M11)&amp;"("&amp;'2. Attributes'!R11&amp;")")</f>
        <v>#N/A</v>
      </c>
      <c r="G8" s="214"/>
      <c r="H8" s="214"/>
      <c r="I8" s="214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</row>
    <row r="9" spans="1:103" ht="10.5" customHeight="1" x14ac:dyDescent="0.25">
      <c r="A9" s="214"/>
      <c r="B9" s="214"/>
      <c r="C9" s="214"/>
      <c r="D9" s="214"/>
      <c r="E9" s="215"/>
      <c r="F9" s="214"/>
      <c r="G9" s="214"/>
      <c r="H9" s="214"/>
      <c r="I9" s="214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</row>
    <row r="10" spans="1:103" ht="10.5" customHeight="1" x14ac:dyDescent="0.25">
      <c r="A10" s="213" t="s">
        <v>191</v>
      </c>
      <c r="B10" s="213"/>
      <c r="C10" s="213"/>
      <c r="D10" s="213"/>
      <c r="E10" s="215"/>
      <c r="F10" s="213" t="s">
        <v>99</v>
      </c>
      <c r="G10" s="213"/>
      <c r="H10" s="213"/>
      <c r="I10" s="213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</row>
    <row r="11" spans="1:103" ht="10.5" customHeight="1" x14ac:dyDescent="0.25">
      <c r="A11" s="214" t="e">
        <f>IF(ISBLANK('2. Attributes'!J8), '2. Attributes'!R8, ('2. Attributes'!D8+'2. Attributes'!M8)&amp;"("&amp;'2. Attributes'!R8&amp;")")</f>
        <v>#N/A</v>
      </c>
      <c r="B11" s="214"/>
      <c r="C11" s="214"/>
      <c r="D11" s="214"/>
      <c r="E11" s="215"/>
      <c r="F11" s="214" t="e">
        <f>IF(ISBLANK('2. Attributes'!J12), '2. Attributes'!R12, ('2. Attributes'!D12+'2. Attributes'!M12)&amp;"("&amp;'2. Attributes'!R12&amp;")")</f>
        <v>#N/A</v>
      </c>
      <c r="G11" s="214"/>
      <c r="H11" s="214"/>
      <c r="I11" s="214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</row>
    <row r="12" spans="1:103" ht="10.5" customHeight="1" x14ac:dyDescent="0.25">
      <c r="A12" s="214"/>
      <c r="B12" s="214"/>
      <c r="C12" s="214"/>
      <c r="D12" s="214"/>
      <c r="E12" s="215"/>
      <c r="F12" s="214"/>
      <c r="G12" s="214"/>
      <c r="H12" s="214"/>
      <c r="I12" s="214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</row>
    <row r="13" spans="1:103" ht="10.5" customHeight="1" x14ac:dyDescent="0.25">
      <c r="A13" s="213" t="s">
        <v>192</v>
      </c>
      <c r="B13" s="213"/>
      <c r="C13" s="213"/>
      <c r="D13" s="213"/>
      <c r="E13" s="215"/>
      <c r="F13" s="213" t="s">
        <v>195</v>
      </c>
      <c r="G13" s="213"/>
      <c r="H13" s="213"/>
      <c r="I13" s="213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</row>
    <row r="14" spans="1:103" ht="10.5" customHeight="1" x14ac:dyDescent="0.25">
      <c r="A14" s="214" t="e">
        <f>IF(ISBLANK('2. Attributes'!J9), '2. Attributes'!R9, ('2. Attributes'!D9+'2. Attributes'!M9)&amp;"("&amp;'2. Attributes'!R9&amp;")")</f>
        <v>#N/A</v>
      </c>
      <c r="B14" s="214"/>
      <c r="C14" s="214"/>
      <c r="D14" s="214"/>
      <c r="E14" s="215"/>
      <c r="F14" s="214" t="e">
        <f>IF(ISBLANK('2. Attributes'!J13), '2. Attributes'!R13, ('2. Attributes'!D13+'2. Attributes'!M13)&amp;"("&amp;'2. Attributes'!R13&amp;")")</f>
        <v>#N/A</v>
      </c>
      <c r="G14" s="214"/>
      <c r="H14" s="214"/>
      <c r="I14" s="214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</row>
    <row r="15" spans="1:103" ht="10.5" customHeight="1" x14ac:dyDescent="0.25">
      <c r="A15" s="214"/>
      <c r="B15" s="214"/>
      <c r="C15" s="214"/>
      <c r="D15" s="214"/>
      <c r="E15" s="215"/>
      <c r="F15" s="214"/>
      <c r="G15" s="214"/>
      <c r="H15" s="214"/>
      <c r="I15" s="214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</row>
    <row r="16" spans="1:103" ht="10.5" customHeight="1" x14ac:dyDescent="0.25">
      <c r="A16" s="213" t="s">
        <v>193</v>
      </c>
      <c r="B16" s="213"/>
      <c r="C16" s="213"/>
      <c r="D16" s="213"/>
      <c r="E16" s="215"/>
      <c r="F16" s="213" t="s">
        <v>101</v>
      </c>
      <c r="G16" s="213"/>
      <c r="H16" s="213"/>
      <c r="I16" s="213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</row>
    <row r="17" spans="54:103" ht="10.5" customHeight="1" x14ac:dyDescent="0.25"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</row>
    <row r="18" spans="54:103" ht="10.5" customHeight="1" x14ac:dyDescent="0.25"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</row>
    <row r="19" spans="54:103" ht="10.5" customHeight="1" x14ac:dyDescent="0.25"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</row>
    <row r="20" spans="54:103" ht="10.5" customHeight="1" x14ac:dyDescent="0.25"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</row>
    <row r="21" spans="54:103" ht="10.5" customHeight="1" x14ac:dyDescent="0.25"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</row>
    <row r="22" spans="54:103" ht="10.5" customHeight="1" x14ac:dyDescent="0.25"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</row>
  </sheetData>
  <mergeCells count="26">
    <mergeCell ref="BB1:CY22"/>
    <mergeCell ref="AE1:AJ2"/>
    <mergeCell ref="AE3:AJ3"/>
    <mergeCell ref="A1:O2"/>
    <mergeCell ref="A3:O3"/>
    <mergeCell ref="P3:Z3"/>
    <mergeCell ref="P1:Z2"/>
    <mergeCell ref="AA1:AD2"/>
    <mergeCell ref="AA3:AD3"/>
    <mergeCell ref="A5:D6"/>
    <mergeCell ref="A7:D7"/>
    <mergeCell ref="A8:D9"/>
    <mergeCell ref="A10:D10"/>
    <mergeCell ref="A11:D12"/>
    <mergeCell ref="A13:D13"/>
    <mergeCell ref="A14:D15"/>
    <mergeCell ref="A16:D16"/>
    <mergeCell ref="F5:I6"/>
    <mergeCell ref="F7:I7"/>
    <mergeCell ref="F8:I9"/>
    <mergeCell ref="F10:I10"/>
    <mergeCell ref="F11:I12"/>
    <mergeCell ref="F13:I13"/>
    <mergeCell ref="F14:I15"/>
    <mergeCell ref="F16:I16"/>
    <mergeCell ref="E5:E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2"/>
  <sheetViews>
    <sheetView workbookViewId="0">
      <pane ySplit="2" topLeftCell="A3" activePane="bottomLeft" state="frozen"/>
      <selection pane="bottomLeft" activeCell="B4" sqref="B4:F4"/>
    </sheetView>
  </sheetViews>
  <sheetFormatPr defaultColWidth="3.42578125" defaultRowHeight="15" x14ac:dyDescent="0.25"/>
  <cols>
    <col min="1" max="1" width="3.42578125" style="1"/>
    <col min="7" max="7" width="3.42578125" customWidth="1"/>
    <col min="27" max="29" width="3.42578125" customWidth="1"/>
  </cols>
  <sheetData>
    <row r="1" spans="1:61" s="81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7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7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7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7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79" t="s">
        <v>56</v>
      </c>
    </row>
    <row r="2" spans="1:61" s="81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7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7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7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79" t="s">
        <v>56</v>
      </c>
      <c r="AJ2" s="79" t="s">
        <v>56</v>
      </c>
    </row>
    <row r="3" spans="1:61" s="11" customFormat="1" ht="52.5" customHeight="1" x14ac:dyDescent="0.25">
      <c r="A3" s="21"/>
      <c r="B3" s="241" t="s">
        <v>5</v>
      </c>
      <c r="C3" s="241"/>
      <c r="D3" s="241"/>
      <c r="E3" s="241"/>
      <c r="F3" s="241"/>
      <c r="G3" s="12" t="s">
        <v>9</v>
      </c>
      <c r="H3" s="12" t="s">
        <v>7</v>
      </c>
      <c r="I3" s="12" t="s">
        <v>10</v>
      </c>
      <c r="J3" s="12" t="s">
        <v>11</v>
      </c>
      <c r="K3" s="12" t="s">
        <v>12</v>
      </c>
      <c r="L3" s="241" t="s">
        <v>13</v>
      </c>
      <c r="M3" s="241"/>
      <c r="N3" s="241"/>
      <c r="O3" s="241"/>
      <c r="Q3" s="256" t="s">
        <v>25</v>
      </c>
      <c r="R3" s="256"/>
      <c r="S3" s="256"/>
      <c r="U3" s="256" t="s">
        <v>26</v>
      </c>
      <c r="V3" s="256"/>
      <c r="W3" s="256"/>
      <c r="X3" s="256"/>
      <c r="Y3" s="256"/>
    </row>
    <row r="4" spans="1:61" x14ac:dyDescent="0.25">
      <c r="A4" s="75" t="s">
        <v>0</v>
      </c>
      <c r="B4" s="248"/>
      <c r="C4" s="249"/>
      <c r="D4" s="249"/>
      <c r="E4" s="249"/>
      <c r="F4" s="249"/>
      <c r="G4" s="35" t="str">
        <f>IF(B4="Attributes", VLOOKUP(A4, DATA!A3:AO7, 7, FALSE), "")</f>
        <v/>
      </c>
      <c r="H4" s="26" t="str">
        <f>IF(B4="Skills", VLOOKUP(A4, DATA!A3:AO7, 8, FALSE), "")</f>
        <v/>
      </c>
      <c r="I4" s="35" t="str">
        <f>IF(B4="Skills", VLOOKUP(A4, DATA!A3:AO7, 9, FALSE), "")</f>
        <v/>
      </c>
      <c r="J4" s="26" t="str">
        <f>IF(B4="Magic", VLOOKUP(A4, DATA!A3:AO7, VLOOKUP($U$4, DATA!$Y$12:$Z$16, 2, FALSE), FALSE), "")</f>
        <v/>
      </c>
      <c r="K4" s="36" t="str">
        <f>IF(B4="Metatype", VLOOKUP(A4, DATA!$A$3:$AO$7, VLOOKUP($Q$4, DATA!$AF$12:$AG$16, 2, FALSE), FALSE), "")</f>
        <v/>
      </c>
      <c r="L4" s="242" t="str">
        <f>IF(B4="Resources", VLOOKUP(A4, DATA!A3:M7, 10, FALSE), "")</f>
        <v/>
      </c>
      <c r="M4" s="243"/>
      <c r="N4" s="243"/>
      <c r="O4" s="244"/>
      <c r="P4" s="125" t="s">
        <v>0</v>
      </c>
      <c r="Q4" s="255"/>
      <c r="R4" s="255"/>
      <c r="S4" s="255"/>
      <c r="T4" s="76"/>
      <c r="U4" s="255"/>
      <c r="V4" s="255"/>
      <c r="W4" s="255"/>
      <c r="X4" s="255"/>
      <c r="Y4" s="255"/>
      <c r="BI4" s="148"/>
    </row>
    <row r="5" spans="1:61" x14ac:dyDescent="0.25">
      <c r="A5" s="69" t="s">
        <v>1</v>
      </c>
      <c r="B5" s="232"/>
      <c r="C5" s="233"/>
      <c r="D5" s="233"/>
      <c r="E5" s="233"/>
      <c r="F5" s="233"/>
      <c r="G5" s="38" t="str">
        <f>IF(B5="Attributes", VLOOKUP(A5, DATA!A4:AO8, 7, FALSE), "")</f>
        <v/>
      </c>
      <c r="H5" s="27" t="str">
        <f>IF(B5="Skills", VLOOKUP(A5, DATA!A4:AO8, 8, FALSE), "")</f>
        <v/>
      </c>
      <c r="I5" s="38" t="str">
        <f>IF(B5="Skills", VLOOKUP(A5, DATA!A4:AO8, 9, FALSE), "")</f>
        <v/>
      </c>
      <c r="J5" s="27" t="str">
        <f>IF(B5="Magic", VLOOKUP(A5, DATA!A4:AO8, VLOOKUP($U$4, DATA!$Y$12:$Z$16, 2, FALSE), FALSE), "")</f>
        <v/>
      </c>
      <c r="K5" s="2" t="str">
        <f>IF(B5="Metatype", VLOOKUP(A5, DATA!$A$3:$AO$7, VLOOKUP($Q$4, DATA!$AF$12:$AG$16, 2, FALSE), FALSE), "")</f>
        <v/>
      </c>
      <c r="L5" s="245" t="str">
        <f>IF(B5="Resources", VLOOKUP(A5, DATA!A4:M8, 10, FALSE), "")</f>
        <v/>
      </c>
      <c r="M5" s="246"/>
      <c r="N5" s="246"/>
      <c r="O5" s="247"/>
      <c r="P5" s="125" t="s">
        <v>1</v>
      </c>
      <c r="Q5" s="76"/>
      <c r="R5" s="76"/>
      <c r="S5" s="76"/>
      <c r="T5" s="76"/>
      <c r="U5" s="256" t="s">
        <v>27</v>
      </c>
      <c r="V5" s="256"/>
      <c r="W5" s="256"/>
      <c r="X5" s="256"/>
      <c r="Y5" s="256"/>
      <c r="BI5" s="148"/>
    </row>
    <row r="6" spans="1:61" x14ac:dyDescent="0.25">
      <c r="A6" s="69" t="s">
        <v>2</v>
      </c>
      <c r="B6" s="232"/>
      <c r="C6" s="233"/>
      <c r="D6" s="233"/>
      <c r="E6" s="233"/>
      <c r="F6" s="233"/>
      <c r="G6" s="38" t="str">
        <f>IF(B6="Attributes", VLOOKUP(A6, DATA!A5:AO9, 7, FALSE), "")</f>
        <v/>
      </c>
      <c r="H6" s="27" t="str">
        <f>IF(B6="Skills", VLOOKUP(A6, DATA!A5:AO9, 8, FALSE), "")</f>
        <v/>
      </c>
      <c r="I6" s="38" t="str">
        <f>IF(B6="Skills", VLOOKUP(A6, DATA!A5:AO9, 9, FALSE), "")</f>
        <v/>
      </c>
      <c r="J6" s="27" t="str">
        <f>IF(B6="Magic", VLOOKUP(A6, DATA!A5:AO9, VLOOKUP($U$4, DATA!$Y$12:$Z$16, 2, FALSE), FALSE), "")</f>
        <v/>
      </c>
      <c r="K6" s="2" t="str">
        <f>IF(B6="Metatype", VLOOKUP(A6, DATA!$A$3:$AO$7, VLOOKUP($Q$4, DATA!$AF$12:$AG$16, 2, FALSE), FALSE), "")</f>
        <v/>
      </c>
      <c r="L6" s="245" t="str">
        <f>IF(B6="Resources", VLOOKUP(A6, DATA!A5:M9, 10, FALSE), "")</f>
        <v/>
      </c>
      <c r="M6" s="246"/>
      <c r="N6" s="246"/>
      <c r="O6" s="247"/>
      <c r="P6" s="125" t="s">
        <v>2</v>
      </c>
      <c r="Q6" s="76"/>
      <c r="R6" s="76"/>
      <c r="S6" s="117"/>
      <c r="T6" s="76"/>
      <c r="U6" s="255"/>
      <c r="V6" s="255"/>
      <c r="W6" s="255"/>
      <c r="X6" s="255"/>
      <c r="Y6" s="255"/>
      <c r="BI6" s="148"/>
    </row>
    <row r="7" spans="1:61" x14ac:dyDescent="0.25">
      <c r="A7" s="69" t="s">
        <v>3</v>
      </c>
      <c r="B7" s="232"/>
      <c r="C7" s="233"/>
      <c r="D7" s="233"/>
      <c r="E7" s="233"/>
      <c r="F7" s="233"/>
      <c r="G7" s="38" t="str">
        <f>IF(B7="Attributes", VLOOKUP(A7, DATA!A6:AO10, 7, FALSE), "")</f>
        <v/>
      </c>
      <c r="H7" s="27" t="str">
        <f>IF(B7="Skills", VLOOKUP(A7, DATA!A6:AO10, 8, FALSE), "")</f>
        <v/>
      </c>
      <c r="I7" s="38" t="str">
        <f>IF(B7="Skills", VLOOKUP(A7, DATA!A6:AO10, 9, FALSE), "")</f>
        <v/>
      </c>
      <c r="J7" s="27" t="str">
        <f>IF(B7="Magic", VLOOKUP(A7, DATA!A6:AO10, VLOOKUP($U$4, DATA!$Y$12:$Z$16, 2, FALSE), FALSE), "")</f>
        <v/>
      </c>
      <c r="K7" s="2" t="str">
        <f>IF(B7="Metatype", VLOOKUP(A7, DATA!$A$3:$AO$7, VLOOKUP($Q$4, DATA!$AF$12:$AG$16, 2, FALSE), FALSE), "")</f>
        <v/>
      </c>
      <c r="L7" s="245" t="str">
        <f>IF(B7="Resources", VLOOKUP(A7, DATA!A6:M10, 10, FALSE), "")</f>
        <v/>
      </c>
      <c r="M7" s="246"/>
      <c r="N7" s="246"/>
      <c r="O7" s="247"/>
      <c r="P7" s="125" t="s">
        <v>3</v>
      </c>
      <c r="Q7" s="76"/>
      <c r="R7" s="76"/>
      <c r="S7" s="117"/>
      <c r="T7" s="76"/>
      <c r="U7" s="256" t="s">
        <v>175</v>
      </c>
      <c r="V7" s="256"/>
      <c r="W7" s="256"/>
      <c r="X7" s="256"/>
      <c r="Y7" s="256"/>
      <c r="BI7" s="148"/>
    </row>
    <row r="8" spans="1:61" x14ac:dyDescent="0.25">
      <c r="A8" s="52" t="s">
        <v>4</v>
      </c>
      <c r="B8" s="234"/>
      <c r="C8" s="235"/>
      <c r="D8" s="235"/>
      <c r="E8" s="235"/>
      <c r="F8" s="235"/>
      <c r="G8" s="41" t="str">
        <f>IF(B8="Attributes", VLOOKUP(A8, DATA!A7:AO11, 7, FALSE), "")</f>
        <v/>
      </c>
      <c r="H8" s="28" t="str">
        <f>IF(B8="Skills", VLOOKUP(A8, DATA!A7:AO11, 8, FALSE), "")</f>
        <v/>
      </c>
      <c r="I8" s="41" t="str">
        <f>IF(B8="Skills", VLOOKUP(A8, DATA!A7:AO11, 9, FALSE), "")</f>
        <v/>
      </c>
      <c r="J8" s="28" t="str">
        <f>IF(B8="Magic", "", "")</f>
        <v/>
      </c>
      <c r="K8" s="42" t="str">
        <f>IF(B8="Metatype", VLOOKUP(A8, DATA!$A$3:$AO$7, VLOOKUP($Q$4, DATA!$AF$12:$AG$16, 2, FALSE), FALSE), "")</f>
        <v/>
      </c>
      <c r="L8" s="237" t="str">
        <f>IF(B8="Resources", VLOOKUP(A8, DATA!A7:M11, 10, FALSE), "")</f>
        <v/>
      </c>
      <c r="M8" s="238"/>
      <c r="N8" s="238"/>
      <c r="O8" s="239"/>
      <c r="P8" s="125" t="s">
        <v>4</v>
      </c>
      <c r="Q8" s="76"/>
      <c r="R8" s="76"/>
      <c r="S8" s="117"/>
      <c r="T8" s="76"/>
      <c r="U8" s="255" t="e">
        <f>VLOOKUP(U6, DATA!H20:I21, 2, FALSE)</f>
        <v>#N/A</v>
      </c>
      <c r="V8" s="255"/>
      <c r="W8" s="255"/>
      <c r="X8" s="255"/>
      <c r="Y8" s="255"/>
      <c r="BI8" s="148"/>
    </row>
    <row r="9" spans="1:61" x14ac:dyDescent="0.25">
      <c r="A9" s="2"/>
      <c r="B9" s="3"/>
      <c r="C9" s="3"/>
      <c r="D9" s="3"/>
      <c r="E9" s="3"/>
      <c r="F9" s="3"/>
      <c r="G9" s="2">
        <f>SUM(G4:G8)</f>
        <v>0</v>
      </c>
      <c r="H9" s="2">
        <f t="shared" ref="H9:L9" si="0">SUM(H4:H8)</f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36">
        <f t="shared" si="0"/>
        <v>0</v>
      </c>
      <c r="M9" s="236"/>
      <c r="N9" s="236"/>
      <c r="O9" s="236"/>
    </row>
    <row r="11" spans="1:61" x14ac:dyDescent="0.25">
      <c r="A11" s="229" t="s">
        <v>6</v>
      </c>
      <c r="B11" s="229"/>
      <c r="C11" s="229"/>
      <c r="D11" s="229"/>
      <c r="E11" s="229"/>
      <c r="F11" s="229"/>
      <c r="G11" s="240">
        <f>'2. Attributes'!O21</f>
        <v>0</v>
      </c>
      <c r="H11" s="240"/>
      <c r="J11" s="226" t="s">
        <v>14</v>
      </c>
      <c r="K11" s="226"/>
      <c r="L11" s="226"/>
      <c r="M11" s="226"/>
      <c r="N11" s="226"/>
      <c r="O11" s="226"/>
      <c r="P11" s="227">
        <v>25</v>
      </c>
      <c r="Q11" s="227"/>
      <c r="S11" s="250" t="s">
        <v>42</v>
      </c>
      <c r="T11" s="250"/>
      <c r="U11" s="250"/>
      <c r="V11" s="250"/>
      <c r="W11" s="250"/>
      <c r="X11" s="250"/>
      <c r="Y11" s="258">
        <f>L9</f>
        <v>0</v>
      </c>
      <c r="Z11" s="259"/>
      <c r="AA11" s="259"/>
      <c r="AB11" s="259"/>
      <c r="AC11" s="260"/>
    </row>
    <row r="12" spans="1:61" x14ac:dyDescent="0.25">
      <c r="A12" s="229" t="s">
        <v>15</v>
      </c>
      <c r="B12" s="229"/>
      <c r="C12" s="229"/>
      <c r="D12" s="229"/>
      <c r="E12" s="229"/>
      <c r="F12" s="229"/>
      <c r="G12" s="228">
        <f>'3. Qualities-Positive'!P36</f>
        <v>0</v>
      </c>
      <c r="H12" s="228"/>
      <c r="J12" s="226" t="s">
        <v>23</v>
      </c>
      <c r="K12" s="226"/>
      <c r="L12" s="226"/>
      <c r="M12" s="226"/>
      <c r="N12" s="226"/>
      <c r="O12" s="226"/>
      <c r="P12" s="227"/>
      <c r="Q12" s="227"/>
      <c r="S12" s="226" t="s">
        <v>43</v>
      </c>
      <c r="T12" s="226"/>
      <c r="U12" s="226"/>
      <c r="V12" s="226"/>
      <c r="W12" s="226"/>
      <c r="X12" s="226"/>
      <c r="Y12" s="231">
        <f>G14*2000</f>
        <v>0</v>
      </c>
      <c r="Z12" s="231"/>
      <c r="AA12" s="231"/>
      <c r="AB12" s="231"/>
      <c r="AC12" s="231"/>
    </row>
    <row r="13" spans="1:61" x14ac:dyDescent="0.25">
      <c r="A13" s="229" t="s">
        <v>16</v>
      </c>
      <c r="B13" s="229"/>
      <c r="C13" s="229"/>
      <c r="D13" s="229"/>
      <c r="E13" s="229"/>
      <c r="F13" s="229"/>
      <c r="G13" s="228">
        <f>'4. Qualities-Negative'!P35</f>
        <v>0</v>
      </c>
      <c r="H13" s="228"/>
      <c r="J13" s="226" t="s">
        <v>242</v>
      </c>
      <c r="K13" s="226"/>
      <c r="L13" s="226"/>
      <c r="M13" s="226"/>
      <c r="N13" s="226"/>
      <c r="O13" s="226"/>
      <c r="P13" s="227"/>
      <c r="Q13" s="227"/>
      <c r="S13" s="226" t="s">
        <v>44</v>
      </c>
      <c r="T13" s="226"/>
      <c r="U13" s="226"/>
      <c r="V13" s="226"/>
      <c r="W13" s="226"/>
      <c r="X13" s="226"/>
      <c r="Y13" s="231">
        <f>'8. Gear'!Z36</f>
        <v>0</v>
      </c>
      <c r="Z13" s="231"/>
      <c r="AA13" s="231"/>
      <c r="AB13" s="231"/>
      <c r="AC13" s="231"/>
    </row>
    <row r="14" spans="1:61" x14ac:dyDescent="0.25">
      <c r="A14" s="229" t="s">
        <v>17</v>
      </c>
      <c r="B14" s="229"/>
      <c r="C14" s="229"/>
      <c r="D14" s="229"/>
      <c r="E14" s="229"/>
      <c r="F14" s="229"/>
      <c r="G14" s="227"/>
      <c r="H14" s="227"/>
      <c r="J14" s="226" t="s">
        <v>243</v>
      </c>
      <c r="K14" s="226"/>
      <c r="L14" s="226"/>
      <c r="M14" s="226"/>
      <c r="N14" s="226"/>
      <c r="O14" s="226"/>
      <c r="P14" s="227"/>
      <c r="Q14" s="227"/>
      <c r="S14" s="226" t="s">
        <v>46</v>
      </c>
      <c r="T14" s="226"/>
      <c r="U14" s="226"/>
      <c r="V14" s="226"/>
      <c r="W14" s="226"/>
      <c r="X14" s="226"/>
      <c r="Y14" s="231">
        <f>'9. Augmentation'!BL44</f>
        <v>0</v>
      </c>
      <c r="Z14" s="231"/>
      <c r="AA14" s="231"/>
      <c r="AB14" s="231"/>
      <c r="AC14" s="231"/>
    </row>
    <row r="15" spans="1:61" x14ac:dyDescent="0.25">
      <c r="A15" s="229" t="s">
        <v>18</v>
      </c>
      <c r="B15" s="229"/>
      <c r="C15" s="229"/>
      <c r="D15" s="229"/>
      <c r="E15" s="229"/>
      <c r="F15" s="229"/>
      <c r="G15" s="228" t="e">
        <f>'11. Contacts'!V7</f>
        <v>#N/A</v>
      </c>
      <c r="H15" s="228"/>
      <c r="J15" s="226" t="s">
        <v>247</v>
      </c>
      <c r="K15" s="226"/>
      <c r="L15" s="226"/>
      <c r="M15" s="226"/>
      <c r="N15" s="226"/>
      <c r="O15" s="226"/>
      <c r="P15" s="227"/>
      <c r="Q15" s="227"/>
      <c r="S15" s="226" t="s">
        <v>45</v>
      </c>
      <c r="T15" s="226"/>
      <c r="U15" s="226"/>
      <c r="V15" s="226"/>
      <c r="W15" s="226"/>
      <c r="X15" s="226"/>
      <c r="Y15" s="231">
        <f>'8. Gear'!Z38</f>
        <v>0</v>
      </c>
      <c r="Z15" s="231"/>
      <c r="AA15" s="231"/>
      <c r="AB15" s="231"/>
      <c r="AC15" s="231"/>
    </row>
    <row r="16" spans="1:61" x14ac:dyDescent="0.25">
      <c r="A16" s="229" t="s">
        <v>7</v>
      </c>
      <c r="B16" s="229"/>
      <c r="C16" s="229"/>
      <c r="D16" s="229"/>
      <c r="E16" s="229"/>
      <c r="F16" s="229"/>
      <c r="G16" s="228">
        <f>'5. Active Skills'!AP9+'5. Active Skills'!AP11</f>
        <v>0</v>
      </c>
      <c r="H16" s="228"/>
      <c r="J16" s="226" t="s">
        <v>388</v>
      </c>
      <c r="K16" s="226"/>
      <c r="L16" s="226"/>
      <c r="M16" s="226"/>
      <c r="N16" s="226"/>
      <c r="O16" s="226"/>
      <c r="P16" s="228">
        <f>'9. Augmentation'!BM44</f>
        <v>0</v>
      </c>
      <c r="Q16" s="228"/>
      <c r="S16" s="230" t="s">
        <v>379</v>
      </c>
      <c r="T16" s="230"/>
      <c r="U16" s="230"/>
      <c r="V16" s="230"/>
      <c r="W16" s="230"/>
      <c r="X16" s="230"/>
      <c r="Y16" s="231">
        <f>'8. Gear'!Z37</f>
        <v>0</v>
      </c>
      <c r="Z16" s="231"/>
      <c r="AA16" s="231"/>
      <c r="AB16" s="231"/>
      <c r="AC16" s="231"/>
    </row>
    <row r="17" spans="1:29" x14ac:dyDescent="0.25">
      <c r="A17" s="229" t="s">
        <v>8</v>
      </c>
      <c r="B17" s="229"/>
      <c r="C17" s="229"/>
      <c r="D17" s="229"/>
      <c r="E17" s="229"/>
      <c r="F17" s="229"/>
      <c r="G17" s="228">
        <f>'5. Active Skills'!AP10</f>
        <v>0</v>
      </c>
      <c r="H17" s="228"/>
      <c r="J17" s="226"/>
      <c r="K17" s="226"/>
      <c r="L17" s="226"/>
      <c r="M17" s="226"/>
      <c r="N17" s="226"/>
      <c r="O17" s="226"/>
      <c r="P17" s="228"/>
      <c r="Q17" s="228"/>
      <c r="S17" s="226" t="s">
        <v>556</v>
      </c>
      <c r="T17" s="226"/>
      <c r="U17" s="226"/>
      <c r="V17" s="226"/>
      <c r="W17" s="226"/>
      <c r="X17" s="226"/>
      <c r="Y17" s="231">
        <f>'10. Vehicle'!AL35</f>
        <v>0</v>
      </c>
      <c r="Z17" s="231"/>
      <c r="AA17" s="231"/>
      <c r="AB17" s="231"/>
      <c r="AC17" s="231"/>
    </row>
    <row r="18" spans="1:29" x14ac:dyDescent="0.25">
      <c r="A18" s="229" t="s">
        <v>19</v>
      </c>
      <c r="B18" s="229"/>
      <c r="C18" s="229"/>
      <c r="D18" s="229"/>
      <c r="E18" s="229"/>
      <c r="F18" s="229"/>
      <c r="G18" s="228">
        <f>IF(OR(U4="Magician", U4="Mystic Adept", U4="Aspected", U4="Technomancer"), '7. Magic'!BN7, 0)</f>
        <v>0</v>
      </c>
      <c r="H18" s="228"/>
      <c r="J18" s="226"/>
      <c r="K18" s="226"/>
      <c r="L18" s="226"/>
      <c r="M18" s="226"/>
      <c r="N18" s="226"/>
      <c r="O18" s="226"/>
      <c r="P18" s="228"/>
      <c r="Q18" s="228"/>
      <c r="S18" s="254" t="s">
        <v>47</v>
      </c>
      <c r="T18" s="254"/>
      <c r="U18" s="254"/>
      <c r="V18" s="254"/>
      <c r="W18" s="254"/>
      <c r="X18" s="20"/>
      <c r="Y18" s="252"/>
      <c r="Z18" s="252"/>
      <c r="AA18" s="252"/>
      <c r="AB18" s="252"/>
      <c r="AC18" s="252"/>
    </row>
    <row r="19" spans="1:29" x14ac:dyDescent="0.25">
      <c r="A19" s="229" t="s">
        <v>20</v>
      </c>
      <c r="B19" s="229"/>
      <c r="C19" s="229"/>
      <c r="D19" s="229"/>
      <c r="E19" s="229"/>
      <c r="F19" s="229"/>
      <c r="G19" s="228">
        <f>'7. Magic'!BP6</f>
        <v>0</v>
      </c>
      <c r="H19" s="228"/>
      <c r="J19" s="226"/>
      <c r="K19" s="226"/>
      <c r="L19" s="226"/>
      <c r="M19" s="226"/>
      <c r="N19" s="226"/>
      <c r="O19" s="226"/>
      <c r="P19" s="228"/>
      <c r="Q19" s="228"/>
      <c r="S19" s="226" t="s">
        <v>48</v>
      </c>
      <c r="T19" s="226"/>
      <c r="U19" s="226"/>
      <c r="V19" s="226"/>
      <c r="W19" s="226"/>
      <c r="X19" s="226"/>
      <c r="Y19" s="252"/>
      <c r="Z19" s="252"/>
      <c r="AA19" s="252"/>
      <c r="AB19" s="252"/>
      <c r="AC19" s="252"/>
    </row>
    <row r="20" spans="1:29" x14ac:dyDescent="0.25">
      <c r="A20" s="229" t="s">
        <v>21</v>
      </c>
      <c r="B20" s="229"/>
      <c r="C20" s="229"/>
      <c r="D20" s="229"/>
      <c r="E20" s="229"/>
      <c r="F20" s="229"/>
      <c r="G20" s="228">
        <f>'7. Magic'!BO7</f>
        <v>0</v>
      </c>
      <c r="H20" s="228"/>
      <c r="J20" s="226" t="s">
        <v>52</v>
      </c>
      <c r="K20" s="226"/>
      <c r="L20" s="226"/>
      <c r="M20" s="226"/>
      <c r="N20" s="226"/>
      <c r="O20" s="226"/>
      <c r="P20" s="228">
        <f>P11+G13+P12</f>
        <v>25</v>
      </c>
      <c r="Q20" s="228"/>
      <c r="S20" s="250" t="s">
        <v>381</v>
      </c>
      <c r="T20" s="250"/>
      <c r="U20" s="250"/>
      <c r="V20" s="250"/>
      <c r="W20" s="250"/>
      <c r="X20" s="250"/>
      <c r="Y20" s="231">
        <f>IF(OR(X18="x", X18="X"), SUM(Y11,Y12,Y18,Y19), SUM(Y11,Y12))</f>
        <v>0</v>
      </c>
      <c r="Z20" s="231"/>
      <c r="AA20" s="231"/>
      <c r="AB20" s="231"/>
      <c r="AC20" s="231"/>
    </row>
    <row r="21" spans="1:29" x14ac:dyDescent="0.25">
      <c r="A21" s="229" t="s">
        <v>22</v>
      </c>
      <c r="B21" s="229"/>
      <c r="C21" s="229"/>
      <c r="D21" s="229"/>
      <c r="E21" s="229"/>
      <c r="F21" s="229"/>
      <c r="G21" s="228">
        <f>'7. Magic'!BP7</f>
        <v>0</v>
      </c>
      <c r="H21" s="228"/>
      <c r="J21" s="226" t="s">
        <v>51</v>
      </c>
      <c r="K21" s="226"/>
      <c r="L21" s="226"/>
      <c r="M21" s="226"/>
      <c r="N21" s="226"/>
      <c r="O21" s="226"/>
      <c r="P21" s="228" t="e">
        <f>SUM(G11:G12,G14:H22)</f>
        <v>#N/A</v>
      </c>
      <c r="Q21" s="228"/>
      <c r="S21" s="230" t="s">
        <v>380</v>
      </c>
      <c r="T21" s="230"/>
      <c r="U21" s="230"/>
      <c r="V21" s="230"/>
      <c r="W21" s="230"/>
      <c r="X21" s="230"/>
      <c r="Y21" s="231">
        <f>SUM(Y13:AC17)</f>
        <v>0</v>
      </c>
      <c r="Z21" s="231"/>
      <c r="AA21" s="231"/>
      <c r="AB21" s="231"/>
      <c r="AC21" s="231"/>
    </row>
    <row r="22" spans="1:29" x14ac:dyDescent="0.25">
      <c r="A22" s="229" t="s">
        <v>173</v>
      </c>
      <c r="B22" s="229"/>
      <c r="C22" s="229"/>
      <c r="D22" s="229"/>
      <c r="E22" s="229"/>
      <c r="F22" s="229"/>
      <c r="G22" s="228"/>
      <c r="H22" s="228"/>
      <c r="J22" s="226" t="s">
        <v>53</v>
      </c>
      <c r="K22" s="226"/>
      <c r="L22" s="226"/>
      <c r="M22" s="226"/>
      <c r="N22" s="226"/>
      <c r="O22" s="226"/>
      <c r="P22" s="228" t="e">
        <f>P20-P21</f>
        <v>#N/A</v>
      </c>
      <c r="Q22" s="228"/>
      <c r="S22" s="226" t="s">
        <v>49</v>
      </c>
      <c r="T22" s="226"/>
      <c r="U22" s="226"/>
      <c r="V22" s="226"/>
      <c r="W22" s="226"/>
      <c r="X22" s="226"/>
      <c r="Y22" s="253">
        <f>Y20-Y21</f>
        <v>0</v>
      </c>
      <c r="Z22" s="253"/>
      <c r="AA22" s="253"/>
      <c r="AB22" s="253"/>
      <c r="AC22" s="253"/>
    </row>
  </sheetData>
  <mergeCells count="111">
    <mergeCell ref="S17:X17"/>
    <mergeCell ref="Y17:AC17"/>
    <mergeCell ref="AH1:AI1"/>
    <mergeCell ref="AD1:AG1"/>
    <mergeCell ref="AA2:AB2"/>
    <mergeCell ref="W2:Z2"/>
    <mergeCell ref="Y11:AC11"/>
    <mergeCell ref="A1:B1"/>
    <mergeCell ref="C1:G1"/>
    <mergeCell ref="P1:S1"/>
    <mergeCell ref="T1:U1"/>
    <mergeCell ref="W1:Z1"/>
    <mergeCell ref="AA1:AB1"/>
    <mergeCell ref="P2:Q2"/>
    <mergeCell ref="R2:U2"/>
    <mergeCell ref="L1:N1"/>
    <mergeCell ref="I1:K1"/>
    <mergeCell ref="S11:X11"/>
    <mergeCell ref="Q3:S3"/>
    <mergeCell ref="Q4:S4"/>
    <mergeCell ref="U4:Y4"/>
    <mergeCell ref="U3:Y3"/>
    <mergeCell ref="U5:Y5"/>
    <mergeCell ref="A2:E2"/>
    <mergeCell ref="F2:G2"/>
    <mergeCell ref="I2:L2"/>
    <mergeCell ref="M2:N2"/>
    <mergeCell ref="S13:X13"/>
    <mergeCell ref="S14:X14"/>
    <mergeCell ref="S19:X19"/>
    <mergeCell ref="S22:X22"/>
    <mergeCell ref="Y12:AC12"/>
    <mergeCell ref="Y13:AC13"/>
    <mergeCell ref="Y14:AC14"/>
    <mergeCell ref="Y15:AC15"/>
    <mergeCell ref="Y18:AC18"/>
    <mergeCell ref="Y19:AC19"/>
    <mergeCell ref="Y22:AC22"/>
    <mergeCell ref="S18:W18"/>
    <mergeCell ref="S15:X15"/>
    <mergeCell ref="P12:Q12"/>
    <mergeCell ref="U6:Y6"/>
    <mergeCell ref="U7:Y7"/>
    <mergeCell ref="U8:Y8"/>
    <mergeCell ref="P11:Q11"/>
    <mergeCell ref="S12:X12"/>
    <mergeCell ref="S16:X16"/>
    <mergeCell ref="Y16:AC16"/>
    <mergeCell ref="S21:X21"/>
    <mergeCell ref="Y21:AC21"/>
    <mergeCell ref="B7:F7"/>
    <mergeCell ref="B8:F8"/>
    <mergeCell ref="L9:O9"/>
    <mergeCell ref="L8:O8"/>
    <mergeCell ref="G11:H11"/>
    <mergeCell ref="B3:F3"/>
    <mergeCell ref="L3:O3"/>
    <mergeCell ref="L4:O4"/>
    <mergeCell ref="L5:O5"/>
    <mergeCell ref="L6:O6"/>
    <mergeCell ref="B4:F4"/>
    <mergeCell ref="B5:F5"/>
    <mergeCell ref="B6:F6"/>
    <mergeCell ref="L7:O7"/>
    <mergeCell ref="S20:X20"/>
    <mergeCell ref="Y20:AC20"/>
    <mergeCell ref="A15:F15"/>
    <mergeCell ref="A14:F14"/>
    <mergeCell ref="A13:F13"/>
    <mergeCell ref="J15:O15"/>
    <mergeCell ref="J16:O16"/>
    <mergeCell ref="P13:Q13"/>
    <mergeCell ref="G22:H22"/>
    <mergeCell ref="A11:F11"/>
    <mergeCell ref="J11:O11"/>
    <mergeCell ref="A12:F12"/>
    <mergeCell ref="J17:O17"/>
    <mergeCell ref="G15:H15"/>
    <mergeCell ref="G12:H12"/>
    <mergeCell ref="G20:H20"/>
    <mergeCell ref="G21:H21"/>
    <mergeCell ref="J12:O12"/>
    <mergeCell ref="J13:O13"/>
    <mergeCell ref="G13:H13"/>
    <mergeCell ref="G14:H14"/>
    <mergeCell ref="A17:F17"/>
    <mergeCell ref="G16:H16"/>
    <mergeCell ref="G17:H17"/>
    <mergeCell ref="G18:H18"/>
    <mergeCell ref="G19:H19"/>
    <mergeCell ref="A22:F22"/>
    <mergeCell ref="A21:F21"/>
    <mergeCell ref="A20:F20"/>
    <mergeCell ref="A19:F19"/>
    <mergeCell ref="A18:F18"/>
    <mergeCell ref="A16:F16"/>
    <mergeCell ref="J14:O14"/>
    <mergeCell ref="P15:Q15"/>
    <mergeCell ref="P16:Q16"/>
    <mergeCell ref="P14:Q14"/>
    <mergeCell ref="J22:O22"/>
    <mergeCell ref="P22:Q22"/>
    <mergeCell ref="J18:O18"/>
    <mergeCell ref="P18:Q18"/>
    <mergeCell ref="J19:O19"/>
    <mergeCell ref="P19:Q19"/>
    <mergeCell ref="J20:O20"/>
    <mergeCell ref="P20:Q20"/>
    <mergeCell ref="P17:Q17"/>
    <mergeCell ref="J21:O21"/>
    <mergeCell ref="P21:Q21"/>
  </mergeCells>
  <conditionalFormatting sqref="G14:H14">
    <cfRule type="cellIs" dxfId="14" priority="5" operator="greaterThan">
      <formula>10</formula>
    </cfRule>
  </conditionalFormatting>
  <conditionalFormatting sqref="Q4:S4">
    <cfRule type="expression" dxfId="13" priority="4">
      <formula>OR($B$4="Metatype",$B$5="Metatype",$B$6="Metatype",$B$7="Metatype",$B$8="Metatype")</formula>
    </cfRule>
  </conditionalFormatting>
  <conditionalFormatting sqref="U4:Y4">
    <cfRule type="expression" dxfId="12" priority="6">
      <formula>OR($B$4="Magic",$B$5="Magic",$B$6="Magic",$B$7="Magic")</formula>
    </cfRule>
  </conditionalFormatting>
  <conditionalFormatting sqref="U6:Y6">
    <cfRule type="expression" dxfId="11" priority="2">
      <formula>OR(U4="Magician", U4="Mystic Adept", U4="Aspected")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DATA!$H$20:$H$21</xm:f>
          </x14:formula1>
          <xm:sqref>U6:Y6</xm:sqref>
        </x14:dataValidation>
        <x14:dataValidation type="list" allowBlank="1" showInputMessage="1" showErrorMessage="1">
          <x14:formula1>
            <xm:f>DATA!$A$20:$A$24</xm:f>
          </x14:formula1>
          <xm:sqref>B4:F8</xm:sqref>
        </x14:dataValidation>
        <x14:dataValidation type="list" allowBlank="1" showInputMessage="1" showErrorMessage="1">
          <x14:formula1>
            <xm:f>IF(B4="Metatype", DATA!AF12:AF16, IF(B5="Metatype",DATA!AH12:AH16, IF(B6="Metatype", DATA!AJ12:AJ15, IF(B7="Metatype", DATA!AL12:AL13, IF(B8="Metatype", DATA!AN12, "")))))</xm:f>
          </x14:formula1>
          <xm:sqref>Q4:S4</xm:sqref>
        </x14:dataValidation>
        <x14:dataValidation type="list" allowBlank="1" showInputMessage="1" showErrorMessage="1">
          <x14:formula1>
            <xm:f>IF(B4="Magic", DATA!W12:W14, IF(B5="Magic", DATA!Y12:Y16, IF(B6="Magic", DATA!AA12:AA16, IF(B7="Magic", DATA!AC12:AC13, ""))))</xm:f>
          </x14:formula1>
          <xm:sqref>U4:Y4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pane ySplit="2" topLeftCell="A3" activePane="bottomLeft" state="frozen"/>
      <selection pane="bottomLeft" activeCell="D6" sqref="D6:E6"/>
    </sheetView>
  </sheetViews>
  <sheetFormatPr defaultColWidth="3.42578125" defaultRowHeight="15" x14ac:dyDescent="0.25"/>
  <cols>
    <col min="1" max="1" width="3.42578125" style="1"/>
    <col min="4" max="4" width="3.42578125" customWidth="1"/>
  </cols>
  <sheetData>
    <row r="1" spans="1:36" s="124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12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12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12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12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129" t="s">
        <v>56</v>
      </c>
    </row>
    <row r="2" spans="1:36" s="124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12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12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12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129" t="s">
        <v>56</v>
      </c>
      <c r="AJ2" s="129" t="s">
        <v>56</v>
      </c>
    </row>
    <row r="3" spans="1:36" s="124" customFormat="1" x14ac:dyDescent="0.25">
      <c r="A3" s="134"/>
      <c r="B3" s="134"/>
      <c r="C3" s="134"/>
      <c r="D3" s="134"/>
      <c r="E3" s="134"/>
      <c r="F3" s="120"/>
      <c r="G3" s="120"/>
      <c r="H3" s="129"/>
      <c r="I3" s="127"/>
      <c r="J3" s="127"/>
      <c r="K3" s="127"/>
      <c r="L3" s="127"/>
      <c r="M3" s="120"/>
      <c r="N3" s="120"/>
      <c r="O3" s="129"/>
      <c r="P3" s="127"/>
      <c r="Q3" s="127"/>
      <c r="R3" s="118"/>
      <c r="S3" s="118"/>
      <c r="T3" s="118"/>
      <c r="U3" s="118"/>
      <c r="V3" s="129"/>
      <c r="AC3" s="129"/>
      <c r="AJ3" s="129"/>
    </row>
    <row r="4" spans="1:36" s="81" customFormat="1" x14ac:dyDescent="0.25">
      <c r="A4" s="78"/>
      <c r="B4" s="78"/>
      <c r="C4" s="78"/>
      <c r="D4" s="262" t="str">
        <f>IF(('1. Priorities'!G9-SUM(D6:D13))&gt;0,('1. Priorities'!G9-SUM(D6:D13))&amp;" Points remaining", IF(('1. Priorities'!G9-SUM(D6:D13))&lt;0,-('1. Priorities'!G9-SUM(D6:D13))&amp;" to many points spent", "Character Creation"))</f>
        <v>Character Creation</v>
      </c>
      <c r="E4" s="262"/>
      <c r="F4" s="262"/>
      <c r="G4" s="262"/>
      <c r="H4" s="262"/>
      <c r="I4" s="262"/>
      <c r="J4" s="262"/>
      <c r="K4" s="262"/>
      <c r="L4" s="79"/>
      <c r="M4" s="257" t="s">
        <v>233</v>
      </c>
      <c r="N4" s="257"/>
      <c r="O4" s="257"/>
      <c r="P4" s="257"/>
      <c r="Q4" s="80"/>
      <c r="R4" s="80"/>
      <c r="S4" s="79"/>
    </row>
    <row r="5" spans="1:36" s="19" customFormat="1" x14ac:dyDescent="0.25">
      <c r="A5" s="23"/>
      <c r="B5" s="23"/>
      <c r="C5" s="23"/>
      <c r="D5" s="263" t="s">
        <v>196</v>
      </c>
      <c r="E5" s="263"/>
      <c r="F5" s="263" t="s">
        <v>203</v>
      </c>
      <c r="G5" s="263"/>
      <c r="H5" s="263" t="s">
        <v>185</v>
      </c>
      <c r="I5" s="263"/>
      <c r="J5" s="263" t="s">
        <v>204</v>
      </c>
      <c r="K5" s="263"/>
      <c r="L5" s="25"/>
      <c r="M5" s="19" t="s">
        <v>231</v>
      </c>
      <c r="N5" s="24"/>
      <c r="O5" s="24" t="s">
        <v>232</v>
      </c>
      <c r="P5" s="24"/>
      <c r="Q5" s="24"/>
      <c r="R5" s="24" t="s">
        <v>49</v>
      </c>
      <c r="S5" s="25"/>
    </row>
    <row r="6" spans="1:36" s="22" customFormat="1" x14ac:dyDescent="0.25">
      <c r="A6" s="229" t="s">
        <v>190</v>
      </c>
      <c r="B6" s="229"/>
      <c r="C6" s="229"/>
      <c r="D6" s="264"/>
      <c r="E6" s="264"/>
      <c r="F6" s="255" t="e">
        <f>VLOOKUP('1. Priorities'!$Q$4, DATA!$A$12:$U$16, 4, FALSE)</f>
        <v>#N/A</v>
      </c>
      <c r="G6" s="255"/>
      <c r="H6" s="255" t="e">
        <f>VLOOKUP('1. Priorities'!$Q$4, DATA!$A$12:$U$16, 5, FALSE)</f>
        <v>#N/A</v>
      </c>
      <c r="I6" s="255"/>
      <c r="J6" s="264"/>
      <c r="K6" s="264"/>
      <c r="L6" s="90"/>
      <c r="M6" s="267"/>
      <c r="N6" s="267"/>
      <c r="O6" s="255">
        <f>IF(ISBLANK(M6), 0, VLOOKUP(F6+D6, DATA!$A$28:$K$37, M6+F6+D6, FALSE))</f>
        <v>0</v>
      </c>
      <c r="P6" s="255"/>
      <c r="Q6" s="266"/>
      <c r="R6" s="255" t="e">
        <f>F6+D6+J6+M6</f>
        <v>#N/A</v>
      </c>
      <c r="S6" s="255"/>
      <c r="U6" s="226" t="s">
        <v>422</v>
      </c>
      <c r="V6" s="226"/>
      <c r="W6" s="226"/>
      <c r="X6" s="226"/>
    </row>
    <row r="7" spans="1:36" x14ac:dyDescent="0.25">
      <c r="A7" s="229" t="s">
        <v>191</v>
      </c>
      <c r="B7" s="229"/>
      <c r="C7" s="229"/>
      <c r="D7" s="227"/>
      <c r="E7" s="227"/>
      <c r="F7" s="255" t="e">
        <f>VLOOKUP('1. Priorities'!$Q$4, DATA!$A$12:$U$16, 6, FALSE)</f>
        <v>#N/A</v>
      </c>
      <c r="G7" s="255"/>
      <c r="H7" s="255" t="e">
        <f>VLOOKUP('1. Priorities'!$Q$4, DATA!$A$12:$U$16, 7, FALSE)</f>
        <v>#N/A</v>
      </c>
      <c r="I7" s="255"/>
      <c r="J7" s="227"/>
      <c r="K7" s="227"/>
      <c r="L7" s="91"/>
      <c r="M7" s="267"/>
      <c r="N7" s="267"/>
      <c r="O7" s="255">
        <f>IF(ISBLANK(M7), 0, VLOOKUP(F7+D7, DATA!$A$28:$K$37, M7+F7+D7, FALSE))</f>
        <v>0</v>
      </c>
      <c r="P7" s="255"/>
      <c r="Q7" s="266"/>
      <c r="R7" s="255" t="e">
        <f t="shared" ref="R7:R13" si="0">F7+D7+J7+M7</f>
        <v>#N/A</v>
      </c>
      <c r="S7" s="255"/>
      <c r="U7" s="226" t="s">
        <v>423</v>
      </c>
      <c r="V7" s="226"/>
      <c r="W7" s="226"/>
      <c r="X7" s="165" t="e">
        <f>ROUNDUP(((R9*2)+R6+R8)/3, 0)</f>
        <v>#N/A</v>
      </c>
      <c r="Y7" s="121"/>
      <c r="Z7" s="121"/>
      <c r="AA7" s="121"/>
      <c r="AB7" s="121"/>
      <c r="AC7" s="121"/>
      <c r="AD7" s="121"/>
      <c r="AE7" s="121"/>
      <c r="AF7" s="121"/>
    </row>
    <row r="8" spans="1:36" x14ac:dyDescent="0.25">
      <c r="A8" s="229" t="s">
        <v>192</v>
      </c>
      <c r="B8" s="229"/>
      <c r="C8" s="229"/>
      <c r="D8" s="227"/>
      <c r="E8" s="227"/>
      <c r="F8" s="255" t="e">
        <f>VLOOKUP('1. Priorities'!$Q$4, DATA!$A$12:$U$16, 8, FALSE)</f>
        <v>#N/A</v>
      </c>
      <c r="G8" s="255"/>
      <c r="H8" s="255" t="e">
        <f>VLOOKUP('1. Priorities'!$Q$4, DATA!$A$12:$U$16, 9, FALSE)</f>
        <v>#N/A</v>
      </c>
      <c r="I8" s="255"/>
      <c r="J8" s="227"/>
      <c r="K8" s="227"/>
      <c r="L8" s="91"/>
      <c r="M8" s="267"/>
      <c r="N8" s="267"/>
      <c r="O8" s="255">
        <f>IF(ISBLANK(M8), 0, VLOOKUP(F8+D8, DATA!$A$28:$K$37, M8+F8+D8, FALSE))</f>
        <v>0</v>
      </c>
      <c r="P8" s="255"/>
      <c r="Q8" s="266"/>
      <c r="R8" s="255" t="e">
        <f t="shared" si="0"/>
        <v>#N/A</v>
      </c>
      <c r="S8" s="255"/>
      <c r="U8" s="226" t="s">
        <v>424</v>
      </c>
      <c r="V8" s="226"/>
      <c r="W8" s="226"/>
      <c r="X8" s="165" t="e">
        <f>ROUNDUP(((R11*2)+R12+R10)/3, 0)</f>
        <v>#N/A</v>
      </c>
      <c r="Y8" s="121"/>
      <c r="Z8" s="121"/>
      <c r="AA8" s="121"/>
      <c r="AB8" s="121"/>
      <c r="AC8" s="121"/>
      <c r="AD8" s="121"/>
      <c r="AE8" s="121"/>
      <c r="AF8" s="121"/>
    </row>
    <row r="9" spans="1:36" x14ac:dyDescent="0.25">
      <c r="A9" s="229" t="s">
        <v>193</v>
      </c>
      <c r="B9" s="229"/>
      <c r="C9" s="229"/>
      <c r="D9" s="227"/>
      <c r="E9" s="227"/>
      <c r="F9" s="255" t="e">
        <f>VLOOKUP('1. Priorities'!$Q$4, DATA!$A$12:$U$16, 10, FALSE)</f>
        <v>#N/A</v>
      </c>
      <c r="G9" s="255"/>
      <c r="H9" s="255" t="e">
        <f>VLOOKUP('1. Priorities'!$Q$4, DATA!$A$12:$U$16, 11, FALSE)</f>
        <v>#N/A</v>
      </c>
      <c r="I9" s="255"/>
      <c r="J9" s="227"/>
      <c r="K9" s="227"/>
      <c r="L9" s="91"/>
      <c r="M9" s="267"/>
      <c r="N9" s="267"/>
      <c r="O9" s="255">
        <f>IF(ISBLANK(M9), 0, VLOOKUP(F9+D9, DATA!$A$28:$K$37, M9+F9+D9, FALSE))</f>
        <v>0</v>
      </c>
      <c r="P9" s="255"/>
      <c r="Q9" s="266"/>
      <c r="R9" s="255" t="e">
        <f t="shared" si="0"/>
        <v>#N/A</v>
      </c>
      <c r="S9" s="255"/>
      <c r="U9" s="226" t="s">
        <v>425</v>
      </c>
      <c r="V9" s="226"/>
      <c r="W9" s="226"/>
      <c r="X9" s="165" t="e">
        <f>ROUNDUP(((R13*2)+R10+R20)/3, 0)</f>
        <v>#N/A</v>
      </c>
      <c r="Y9" s="121"/>
      <c r="Z9" s="121"/>
      <c r="AA9" s="121"/>
      <c r="AB9" s="121"/>
      <c r="AC9" s="121"/>
      <c r="AD9" s="121"/>
      <c r="AE9" s="121"/>
      <c r="AF9" s="121"/>
    </row>
    <row r="10" spans="1:36" x14ac:dyDescent="0.25">
      <c r="A10" s="229" t="s">
        <v>194</v>
      </c>
      <c r="B10" s="229"/>
      <c r="C10" s="229"/>
      <c r="D10" s="227"/>
      <c r="E10" s="227"/>
      <c r="F10" s="255" t="e">
        <f>VLOOKUP('1. Priorities'!$Q$4, DATA!$A$12:$U$16, 12, FALSE)</f>
        <v>#N/A</v>
      </c>
      <c r="G10" s="255"/>
      <c r="H10" s="255" t="e">
        <f>VLOOKUP('1. Priorities'!$Q$4, DATA!$A$12:$U$16, 13, FALSE)</f>
        <v>#N/A</v>
      </c>
      <c r="I10" s="255"/>
      <c r="J10" s="227"/>
      <c r="K10" s="227"/>
      <c r="L10" s="91"/>
      <c r="M10" s="267"/>
      <c r="N10" s="267"/>
      <c r="O10" s="255">
        <f>IF(ISBLANK(M10), 0, VLOOKUP(F10+D10, DATA!$A$28:$K$37, M10+F10+D10, FALSE))</f>
        <v>0</v>
      </c>
      <c r="P10" s="255"/>
      <c r="Q10" s="266"/>
      <c r="R10" s="255" t="e">
        <f t="shared" si="0"/>
        <v>#N/A</v>
      </c>
      <c r="S10" s="255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</row>
    <row r="11" spans="1:36" x14ac:dyDescent="0.25">
      <c r="A11" s="229" t="s">
        <v>99</v>
      </c>
      <c r="B11" s="229"/>
      <c r="C11" s="229"/>
      <c r="D11" s="227"/>
      <c r="E11" s="227"/>
      <c r="F11" s="255" t="e">
        <f>VLOOKUP('1. Priorities'!$Q$4, DATA!$A$12:$U$16, 14, FALSE)</f>
        <v>#N/A</v>
      </c>
      <c r="G11" s="255"/>
      <c r="H11" s="255" t="e">
        <f>VLOOKUP('1. Priorities'!$Q$4, DATA!$A$12:$U$16, 15, FALSE)</f>
        <v>#N/A</v>
      </c>
      <c r="I11" s="255"/>
      <c r="J11" s="227"/>
      <c r="K11" s="227"/>
      <c r="L11" s="91"/>
      <c r="M11" s="267"/>
      <c r="N11" s="267"/>
      <c r="O11" s="255">
        <f>IF(ISBLANK(M11), 0, VLOOKUP(F11+D11, DATA!$A$28:$K$37, M11+F11+D11, FALSE))</f>
        <v>0</v>
      </c>
      <c r="P11" s="255"/>
      <c r="Q11" s="266"/>
      <c r="R11" s="255" t="e">
        <f t="shared" si="0"/>
        <v>#N/A</v>
      </c>
      <c r="S11" s="255"/>
      <c r="U11" s="229" t="s">
        <v>426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</row>
    <row r="12" spans="1:36" x14ac:dyDescent="0.25">
      <c r="A12" s="229" t="s">
        <v>195</v>
      </c>
      <c r="B12" s="229"/>
      <c r="C12" s="229"/>
      <c r="D12" s="227"/>
      <c r="E12" s="227"/>
      <c r="F12" s="255" t="e">
        <f>VLOOKUP('1. Priorities'!$Q$4, DATA!$A$12:$U$16, 16, FALSE)</f>
        <v>#N/A</v>
      </c>
      <c r="G12" s="255"/>
      <c r="H12" s="255" t="e">
        <f>VLOOKUP('1. Priorities'!$Q$4, DATA!$A$12:$U$16, 17, FALSE)</f>
        <v>#N/A</v>
      </c>
      <c r="I12" s="255"/>
      <c r="J12" s="227"/>
      <c r="K12" s="227"/>
      <c r="L12" s="91"/>
      <c r="M12" s="267"/>
      <c r="N12" s="267"/>
      <c r="O12" s="255">
        <f>IF(ISBLANK(M12), 0, VLOOKUP(F12+D12, DATA!$A$28:$K$37, M12+F12+D12, FALSE))</f>
        <v>0</v>
      </c>
      <c r="P12" s="255"/>
      <c r="Q12" s="266"/>
      <c r="R12" s="255" t="e">
        <f t="shared" si="0"/>
        <v>#N/A</v>
      </c>
      <c r="S12" s="255"/>
      <c r="U12" s="226" t="s">
        <v>427</v>
      </c>
      <c r="V12" s="226"/>
      <c r="W12" s="226"/>
      <c r="X12" s="226"/>
      <c r="Y12" s="165" t="e">
        <f>R12+R8</f>
        <v>#N/A</v>
      </c>
      <c r="Z12" s="167" t="s">
        <v>428</v>
      </c>
      <c r="AA12" s="229" t="s">
        <v>429</v>
      </c>
      <c r="AB12" s="229"/>
      <c r="AC12" s="164"/>
      <c r="AD12" s="164"/>
      <c r="AE12" s="164"/>
      <c r="AF12" s="164"/>
    </row>
    <row r="13" spans="1:36" x14ac:dyDescent="0.25">
      <c r="A13" s="229" t="s">
        <v>101</v>
      </c>
      <c r="B13" s="229"/>
      <c r="C13" s="229"/>
      <c r="D13" s="227"/>
      <c r="E13" s="227"/>
      <c r="F13" s="255" t="e">
        <f>VLOOKUP('1. Priorities'!$Q$4, DATA!$A$12:$U$16, 18, FALSE)</f>
        <v>#N/A</v>
      </c>
      <c r="G13" s="255"/>
      <c r="H13" s="255" t="e">
        <f>VLOOKUP('1. Priorities'!$Q$4, DATA!$A$12:$U$16, 19, FALSE)</f>
        <v>#N/A</v>
      </c>
      <c r="I13" s="255"/>
      <c r="J13" s="227"/>
      <c r="K13" s="227"/>
      <c r="L13" s="91"/>
      <c r="M13" s="267"/>
      <c r="N13" s="267"/>
      <c r="O13" s="255">
        <f>IF(ISBLANK(M13), 0, VLOOKUP(F13+D13, DATA!$A$28:$K$37, M13+F13+D13, FALSE))</f>
        <v>0</v>
      </c>
      <c r="P13" s="255"/>
      <c r="Q13" s="266"/>
      <c r="R13" s="255" t="e">
        <f t="shared" si="0"/>
        <v>#N/A</v>
      </c>
      <c r="S13" s="255"/>
      <c r="U13" s="226" t="s">
        <v>430</v>
      </c>
      <c r="V13" s="226"/>
      <c r="W13" s="226"/>
      <c r="X13" s="226"/>
      <c r="Y13" s="165">
        <f>IF(R17=0, 0, R12*2)</f>
        <v>0</v>
      </c>
      <c r="Z13" s="167" t="s">
        <v>428</v>
      </c>
      <c r="AA13" s="229">
        <f>IF(R17=0, 0, "2d6")</f>
        <v>0</v>
      </c>
      <c r="AB13" s="229"/>
      <c r="AC13" s="164"/>
      <c r="AD13" s="164"/>
      <c r="AE13" s="164"/>
      <c r="AF13" s="164"/>
    </row>
    <row r="14" spans="1:36" x14ac:dyDescent="0.25">
      <c r="A14" s="113"/>
      <c r="B14" s="113"/>
      <c r="C14" s="113"/>
      <c r="D14" s="83" t="str">
        <f>IF(('1. Priorities'!$K$9-SUM(D15:D18))&gt;0,('1. Priorities'!$K$9-SUM(D15:D18))&amp;" bonus points remaining",IF(('1. Priorities'!$K$9-SUM(D15:D18))&lt;0,-('1. Priorities'!$K$9-SUM(D15:D18))&amp;" to many points spent", ""))</f>
        <v/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266"/>
      <c r="P14" s="266"/>
      <c r="Q14" s="91"/>
      <c r="R14" s="91"/>
      <c r="S14" s="91"/>
      <c r="U14" s="226" t="s">
        <v>431</v>
      </c>
      <c r="V14" s="226"/>
      <c r="W14" s="226"/>
      <c r="X14" s="226"/>
      <c r="Y14" s="165" t="e">
        <f>R12+R8</f>
        <v>#N/A</v>
      </c>
      <c r="Z14" s="167" t="s">
        <v>428</v>
      </c>
      <c r="AA14" s="229" t="s">
        <v>429</v>
      </c>
      <c r="AB14" s="229"/>
      <c r="AC14" s="164"/>
      <c r="AD14" s="164"/>
      <c r="AE14" s="164"/>
      <c r="AF14" s="164"/>
    </row>
    <row r="15" spans="1:36" x14ac:dyDescent="0.25">
      <c r="A15" s="229" t="s">
        <v>176</v>
      </c>
      <c r="B15" s="229"/>
      <c r="C15" s="229"/>
      <c r="D15" s="227"/>
      <c r="E15" s="227"/>
      <c r="F15" s="228" t="e">
        <f>VLOOKUP('1. Priorities'!$Q$4, DATA!$A$12:$U$16, 20, FALSE)</f>
        <v>#N/A</v>
      </c>
      <c r="G15" s="228"/>
      <c r="H15" s="228" t="e">
        <f>VLOOKUP('1. Priorities'!$Q$4, DATA!$A$12:$U$16, 21, FALSE)+IF('3. Qualities-Positive'!J24=1, 1, 0)</f>
        <v>#N/A</v>
      </c>
      <c r="I15" s="228"/>
      <c r="J15" s="265"/>
      <c r="K15" s="265"/>
      <c r="L15" s="91"/>
      <c r="M15" s="268"/>
      <c r="N15" s="268"/>
      <c r="O15" s="255">
        <f>IF(ISBLANK(M15), 0, VLOOKUP(F15+D15, DATA!$A$28:$K$37, M15+F15+D15, FALSE))</f>
        <v>0</v>
      </c>
      <c r="P15" s="255"/>
      <c r="Q15" s="91"/>
      <c r="R15" s="228" t="e">
        <f>F15+D15+M15</f>
        <v>#N/A</v>
      </c>
      <c r="S15" s="228"/>
      <c r="U15" s="226" t="s">
        <v>432</v>
      </c>
      <c r="V15" s="226"/>
      <c r="W15" s="226"/>
      <c r="X15" s="226"/>
      <c r="Y15" s="165" t="e">
        <f>R12</f>
        <v>#N/A</v>
      </c>
      <c r="Z15" s="167" t="s">
        <v>428</v>
      </c>
      <c r="AA15" s="254" t="s">
        <v>433</v>
      </c>
      <c r="AB15" s="254"/>
      <c r="AC15" s="254"/>
      <c r="AD15" s="254"/>
      <c r="AE15" s="254"/>
      <c r="AF15" s="254"/>
    </row>
    <row r="16" spans="1:36" x14ac:dyDescent="0.25">
      <c r="A16" s="114"/>
      <c r="B16" s="112"/>
      <c r="C16" s="112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266"/>
      <c r="P16" s="266"/>
      <c r="Q16" s="91"/>
      <c r="R16" s="91"/>
      <c r="S16" s="91"/>
      <c r="U16" s="226" t="s">
        <v>434</v>
      </c>
      <c r="V16" s="226"/>
      <c r="W16" s="226"/>
      <c r="X16" s="226"/>
      <c r="Y16" s="165" t="e">
        <f>R12</f>
        <v>#N/A</v>
      </c>
      <c r="Z16" s="167" t="s">
        <v>428</v>
      </c>
      <c r="AA16" s="229" t="s">
        <v>435</v>
      </c>
      <c r="AB16" s="229"/>
      <c r="AC16" s="229"/>
      <c r="AD16" s="229"/>
      <c r="AE16" s="229"/>
      <c r="AF16" s="229"/>
    </row>
    <row r="17" spans="1:19" x14ac:dyDescent="0.25">
      <c r="A17" s="229" t="s">
        <v>11</v>
      </c>
      <c r="B17" s="229"/>
      <c r="C17" s="229"/>
      <c r="D17" s="264"/>
      <c r="E17" s="264"/>
      <c r="F17" s="228">
        <f>IF('1. Priorities'!U4="Technomancer", 0, '1. Priorities'!J9)</f>
        <v>0</v>
      </c>
      <c r="G17" s="228"/>
      <c r="H17" s="228">
        <f>IF('1. Priorities'!U4="Technomancer", 0, 6+'7. Magic'!AZ5)</f>
        <v>6</v>
      </c>
      <c r="I17" s="228"/>
      <c r="J17" s="265"/>
      <c r="K17" s="265"/>
      <c r="L17" s="91"/>
      <c r="M17" s="268"/>
      <c r="N17" s="268"/>
      <c r="O17" s="269">
        <f>IF(F17&gt;0, VLOOKUP(F17+D17, DATA!$A$28:$K$37, M17+F17+D17, FALSE), 0)</f>
        <v>0</v>
      </c>
      <c r="P17" s="270"/>
      <c r="Q17" s="91"/>
      <c r="R17" s="228">
        <f>F17+D17+M17</f>
        <v>0</v>
      </c>
      <c r="S17" s="228"/>
    </row>
    <row r="18" spans="1:19" x14ac:dyDescent="0.25">
      <c r="A18" s="229" t="s">
        <v>234</v>
      </c>
      <c r="B18" s="229"/>
      <c r="C18" s="229"/>
      <c r="D18" s="264"/>
      <c r="E18" s="264"/>
      <c r="F18" s="228">
        <f>IF('1. Priorities'!U4="Technomancer", '1. Priorities'!J9, 0)</f>
        <v>0</v>
      </c>
      <c r="G18" s="228"/>
      <c r="H18" s="228">
        <f>IF('1. Priorities'!U4="Technomancer", 6+'7. Magic'!AZ5, 0)</f>
        <v>0</v>
      </c>
      <c r="I18" s="228"/>
      <c r="J18" s="265"/>
      <c r="K18" s="265"/>
      <c r="L18" s="91"/>
      <c r="M18" s="268"/>
      <c r="N18" s="268"/>
      <c r="O18" s="269">
        <f>IF(F18&gt;0, VLOOKUP(F18+D18, DATA!$A$28:$K$37, M18+F18+D18, FALSE), 0)</f>
        <v>0</v>
      </c>
      <c r="P18" s="270"/>
      <c r="Q18" s="91"/>
      <c r="R18" s="228">
        <f>F18+D18+M18</f>
        <v>0</v>
      </c>
      <c r="S18" s="228"/>
    </row>
    <row r="19" spans="1:19" x14ac:dyDescent="0.25">
      <c r="A19" s="111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1:19" x14ac:dyDescent="0.25">
      <c r="A20" s="229" t="s">
        <v>245</v>
      </c>
      <c r="B20" s="229"/>
      <c r="C20" s="229"/>
      <c r="D20" s="265"/>
      <c r="E20" s="265"/>
      <c r="F20" s="265"/>
      <c r="G20" s="265"/>
      <c r="H20" s="228">
        <v>6</v>
      </c>
      <c r="I20" s="228"/>
      <c r="J20" s="228">
        <f>'1. Priorities'!P16</f>
        <v>0</v>
      </c>
      <c r="K20" s="228"/>
      <c r="L20" s="91"/>
      <c r="M20" s="265"/>
      <c r="N20" s="265"/>
      <c r="O20" s="265"/>
      <c r="P20" s="265"/>
      <c r="Q20" s="91"/>
      <c r="R20" s="228">
        <f>H20-J20</f>
        <v>6</v>
      </c>
      <c r="S20" s="228"/>
    </row>
    <row r="21" spans="1:19" x14ac:dyDescent="0.25">
      <c r="O21" s="126">
        <f>SUM(O17:P18,O15,O6:P13)</f>
        <v>0</v>
      </c>
    </row>
  </sheetData>
  <mergeCells count="138">
    <mergeCell ref="AD1:AG1"/>
    <mergeCell ref="AH1:AI1"/>
    <mergeCell ref="R17:S17"/>
    <mergeCell ref="O18:P18"/>
    <mergeCell ref="W2:Z2"/>
    <mergeCell ref="AA2:AB2"/>
    <mergeCell ref="P2:Q2"/>
    <mergeCell ref="R2:U2"/>
    <mergeCell ref="T1:U1"/>
    <mergeCell ref="W1:Z1"/>
    <mergeCell ref="AA1:AB1"/>
    <mergeCell ref="M4:P4"/>
    <mergeCell ref="U6:X6"/>
    <mergeCell ref="U7:W7"/>
    <mergeCell ref="U8:W8"/>
    <mergeCell ref="U9:W9"/>
    <mergeCell ref="U11:AF11"/>
    <mergeCell ref="U12:X12"/>
    <mergeCell ref="AA12:AB12"/>
    <mergeCell ref="U13:X13"/>
    <mergeCell ref="AA13:AB13"/>
    <mergeCell ref="U14:X14"/>
    <mergeCell ref="AA14:AB14"/>
    <mergeCell ref="U15:X15"/>
    <mergeCell ref="F18:G18"/>
    <mergeCell ref="F17:G17"/>
    <mergeCell ref="R20:S20"/>
    <mergeCell ref="A1:B1"/>
    <mergeCell ref="C1:G1"/>
    <mergeCell ref="I1:K1"/>
    <mergeCell ref="L1:N1"/>
    <mergeCell ref="P1:S1"/>
    <mergeCell ref="A2:E2"/>
    <mergeCell ref="F2:G2"/>
    <mergeCell ref="I2:L2"/>
    <mergeCell ref="M2:N2"/>
    <mergeCell ref="O16:P16"/>
    <mergeCell ref="O14:P14"/>
    <mergeCell ref="A20:C20"/>
    <mergeCell ref="H20:I20"/>
    <mergeCell ref="F20:G20"/>
    <mergeCell ref="D20:E20"/>
    <mergeCell ref="O20:P20"/>
    <mergeCell ref="M20:N20"/>
    <mergeCell ref="J20:K20"/>
    <mergeCell ref="A17:C17"/>
    <mergeCell ref="A18:C18"/>
    <mergeCell ref="R18:S18"/>
    <mergeCell ref="D18:E18"/>
    <mergeCell ref="D17:E17"/>
    <mergeCell ref="R11:S11"/>
    <mergeCell ref="R12:S12"/>
    <mergeCell ref="R13:S13"/>
    <mergeCell ref="R15:S15"/>
    <mergeCell ref="O15:P15"/>
    <mergeCell ref="M15:N15"/>
    <mergeCell ref="R6:S6"/>
    <mergeCell ref="R7:S7"/>
    <mergeCell ref="R8:S8"/>
    <mergeCell ref="R9:S9"/>
    <mergeCell ref="R10:S10"/>
    <mergeCell ref="O13:P13"/>
    <mergeCell ref="H6:I6"/>
    <mergeCell ref="H7:I7"/>
    <mergeCell ref="H8:I8"/>
    <mergeCell ref="O17:P17"/>
    <mergeCell ref="M18:N18"/>
    <mergeCell ref="M17:N17"/>
    <mergeCell ref="J18:K18"/>
    <mergeCell ref="J17:K17"/>
    <mergeCell ref="H18:I18"/>
    <mergeCell ref="H17:I17"/>
    <mergeCell ref="D4:K4"/>
    <mergeCell ref="Q6:Q13"/>
    <mergeCell ref="M6:N6"/>
    <mergeCell ref="O6:P6"/>
    <mergeCell ref="M7:N7"/>
    <mergeCell ref="M8:N8"/>
    <mergeCell ref="M9:N9"/>
    <mergeCell ref="M10:N10"/>
    <mergeCell ref="M11:N11"/>
    <mergeCell ref="M12:N12"/>
    <mergeCell ref="M13:N13"/>
    <mergeCell ref="O7:P7"/>
    <mergeCell ref="O8:P8"/>
    <mergeCell ref="O9:P9"/>
    <mergeCell ref="O10:P10"/>
    <mergeCell ref="O11:P11"/>
    <mergeCell ref="O12:P12"/>
    <mergeCell ref="F11:G11"/>
    <mergeCell ref="F10:G10"/>
    <mergeCell ref="F9:G9"/>
    <mergeCell ref="F8:G8"/>
    <mergeCell ref="F7:G7"/>
    <mergeCell ref="F6:G6"/>
    <mergeCell ref="H5:I5"/>
    <mergeCell ref="A15:C15"/>
    <mergeCell ref="J15:K15"/>
    <mergeCell ref="H15:I15"/>
    <mergeCell ref="F15:G15"/>
    <mergeCell ref="D15:E15"/>
    <mergeCell ref="D5:E5"/>
    <mergeCell ref="D13:E13"/>
    <mergeCell ref="D12:E12"/>
    <mergeCell ref="D11:E11"/>
    <mergeCell ref="D10:E10"/>
    <mergeCell ref="D9:E9"/>
    <mergeCell ref="D8:E8"/>
    <mergeCell ref="D7:E7"/>
    <mergeCell ref="D6:E6"/>
    <mergeCell ref="A13:C13"/>
    <mergeCell ref="A12:C12"/>
    <mergeCell ref="A11:C11"/>
    <mergeCell ref="A10:C10"/>
    <mergeCell ref="A9:C9"/>
    <mergeCell ref="A8:C8"/>
    <mergeCell ref="A7:C7"/>
    <mergeCell ref="A6:C6"/>
    <mergeCell ref="F13:G13"/>
    <mergeCell ref="F12:G12"/>
    <mergeCell ref="AA15:AF15"/>
    <mergeCell ref="U16:X16"/>
    <mergeCell ref="AA16:AF16"/>
    <mergeCell ref="F5:G5"/>
    <mergeCell ref="J5:K5"/>
    <mergeCell ref="J13:K13"/>
    <mergeCell ref="J12:K12"/>
    <mergeCell ref="J11:K11"/>
    <mergeCell ref="J10:K10"/>
    <mergeCell ref="J9:K9"/>
    <mergeCell ref="J8:K8"/>
    <mergeCell ref="J7:K7"/>
    <mergeCell ref="J6:K6"/>
    <mergeCell ref="H9:I9"/>
    <mergeCell ref="H10:I10"/>
    <mergeCell ref="H11:I11"/>
    <mergeCell ref="H12:I12"/>
    <mergeCell ref="H13:I13"/>
  </mergeCells>
  <conditionalFormatting sqref="D6:E6">
    <cfRule type="expression" dxfId="10" priority="1">
      <formula>IF($D$6&gt;($H$6-1), TRUE,FALSE)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workbookViewId="0">
      <pane ySplit="2" topLeftCell="A3" activePane="bottomLeft" state="frozen"/>
      <selection pane="bottomLeft" activeCell="J5" sqref="J5:K5"/>
    </sheetView>
  </sheetViews>
  <sheetFormatPr defaultColWidth="3.42578125" defaultRowHeight="15" x14ac:dyDescent="0.25"/>
  <cols>
    <col min="1" max="1" width="3.42578125" style="1"/>
  </cols>
  <sheetData>
    <row r="1" spans="1:44" s="124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12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12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12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12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129" t="s">
        <v>56</v>
      </c>
    </row>
    <row r="2" spans="1:44" s="124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12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12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12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129" t="s">
        <v>56</v>
      </c>
      <c r="AJ2" s="129" t="s">
        <v>56</v>
      </c>
    </row>
    <row r="3" spans="1:44" s="124" customFormat="1" x14ac:dyDescent="0.25">
      <c r="A3" s="134"/>
      <c r="B3" s="134"/>
      <c r="C3" s="134"/>
      <c r="D3" s="134"/>
      <c r="E3" s="134"/>
      <c r="F3" s="120"/>
      <c r="G3" s="120"/>
      <c r="H3" s="129"/>
      <c r="I3" s="127"/>
      <c r="J3" s="127"/>
      <c r="K3" s="127"/>
      <c r="L3" s="127"/>
      <c r="M3" s="120"/>
      <c r="N3" s="120"/>
      <c r="O3" s="129"/>
      <c r="P3" s="127"/>
      <c r="Q3" s="127"/>
      <c r="R3" s="118"/>
      <c r="S3" s="118"/>
      <c r="T3" s="118"/>
      <c r="U3" s="118"/>
      <c r="V3" s="129"/>
      <c r="AC3" s="129"/>
      <c r="AJ3" s="129"/>
    </row>
    <row r="4" spans="1:44" s="13" customFormat="1" x14ac:dyDescent="0.25">
      <c r="A4" s="262" t="s">
        <v>205</v>
      </c>
      <c r="B4" s="262"/>
      <c r="C4" s="262"/>
      <c r="D4" s="262"/>
      <c r="E4" s="262"/>
      <c r="F4" s="262"/>
      <c r="G4" s="262"/>
      <c r="H4" s="262"/>
      <c r="I4" s="262"/>
      <c r="J4" s="263" t="s">
        <v>184</v>
      </c>
      <c r="K4" s="263"/>
      <c r="L4" s="263" t="s">
        <v>185</v>
      </c>
      <c r="M4" s="263"/>
      <c r="N4" s="263" t="s">
        <v>186</v>
      </c>
      <c r="O4" s="263"/>
      <c r="P4" s="263" t="s">
        <v>49</v>
      </c>
      <c r="Q4" s="263"/>
    </row>
    <row r="5" spans="1:44" x14ac:dyDescent="0.25">
      <c r="A5" s="271" t="s">
        <v>123</v>
      </c>
      <c r="B5" s="271"/>
      <c r="C5" s="271"/>
      <c r="D5" s="271"/>
      <c r="E5" s="271"/>
      <c r="F5" s="271"/>
      <c r="G5" s="271"/>
      <c r="H5" s="271"/>
      <c r="I5" s="271"/>
      <c r="J5" s="275"/>
      <c r="K5" s="227"/>
      <c r="L5" s="228">
        <v>1</v>
      </c>
      <c r="M5" s="228"/>
      <c r="N5" s="228">
        <v>4</v>
      </c>
      <c r="O5" s="228"/>
      <c r="P5" s="228" t="str">
        <f>IF(J5&gt;0, J5*N5, "")</f>
        <v/>
      </c>
      <c r="Q5" s="228"/>
      <c r="AR5" s="116"/>
    </row>
    <row r="6" spans="1:44" x14ac:dyDescent="0.25">
      <c r="A6" s="271" t="s">
        <v>124</v>
      </c>
      <c r="B6" s="271"/>
      <c r="C6" s="271"/>
      <c r="D6" s="271"/>
      <c r="E6" s="271"/>
      <c r="F6" s="271"/>
      <c r="G6" s="271"/>
      <c r="H6" s="271"/>
      <c r="I6" s="271"/>
      <c r="J6" s="275"/>
      <c r="K6" s="227"/>
      <c r="L6" s="228">
        <v>1</v>
      </c>
      <c r="M6" s="228"/>
      <c r="N6" s="228">
        <v>5</v>
      </c>
      <c r="O6" s="228"/>
      <c r="P6" s="228" t="str">
        <f t="shared" ref="P6:P35" si="0">IF(J6&gt;0, J6*N6, "")</f>
        <v/>
      </c>
      <c r="Q6" s="228"/>
      <c r="AR6" s="116"/>
    </row>
    <row r="7" spans="1:44" x14ac:dyDescent="0.25">
      <c r="A7" s="271" t="s">
        <v>125</v>
      </c>
      <c r="B7" s="271"/>
      <c r="C7" s="271"/>
      <c r="D7" s="271"/>
      <c r="E7" s="271"/>
      <c r="F7" s="271"/>
      <c r="G7" s="271"/>
      <c r="H7" s="271"/>
      <c r="I7" s="271"/>
      <c r="J7" s="275"/>
      <c r="K7" s="227"/>
      <c r="L7" s="228">
        <v>1</v>
      </c>
      <c r="M7" s="228"/>
      <c r="N7" s="228">
        <v>14</v>
      </c>
      <c r="O7" s="228"/>
      <c r="P7" s="228" t="str">
        <f t="shared" si="0"/>
        <v/>
      </c>
      <c r="Q7" s="228"/>
      <c r="R7" s="273" t="s">
        <v>207</v>
      </c>
      <c r="S7" s="262"/>
      <c r="T7" s="262"/>
      <c r="U7" s="274"/>
      <c r="V7" s="274"/>
      <c r="W7" s="274"/>
      <c r="X7" s="274"/>
      <c r="Y7" s="274"/>
      <c r="AR7" s="116"/>
    </row>
    <row r="8" spans="1:44" x14ac:dyDescent="0.25">
      <c r="A8" s="271" t="s">
        <v>126</v>
      </c>
      <c r="B8" s="271"/>
      <c r="C8" s="271"/>
      <c r="D8" s="271"/>
      <c r="E8" s="271"/>
      <c r="F8" s="271"/>
      <c r="G8" s="271"/>
      <c r="H8" s="271"/>
      <c r="I8" s="271"/>
      <c r="J8" s="275"/>
      <c r="K8" s="227"/>
      <c r="L8" s="228">
        <v>1</v>
      </c>
      <c r="M8" s="228"/>
      <c r="N8" s="228">
        <v>10</v>
      </c>
      <c r="O8" s="228"/>
      <c r="P8" s="228" t="str">
        <f t="shared" si="0"/>
        <v/>
      </c>
      <c r="Q8" s="228"/>
      <c r="AR8" s="116"/>
    </row>
    <row r="9" spans="1:44" x14ac:dyDescent="0.25">
      <c r="A9" s="271" t="s">
        <v>127</v>
      </c>
      <c r="B9" s="271"/>
      <c r="C9" s="271"/>
      <c r="D9" s="271"/>
      <c r="E9" s="271"/>
      <c r="F9" s="271"/>
      <c r="G9" s="271"/>
      <c r="H9" s="271"/>
      <c r="I9" s="271"/>
      <c r="J9" s="275"/>
      <c r="K9" s="227"/>
      <c r="L9" s="228">
        <v>1</v>
      </c>
      <c r="M9" s="228"/>
      <c r="N9" s="228">
        <v>5</v>
      </c>
      <c r="O9" s="228"/>
      <c r="P9" s="228" t="str">
        <f t="shared" si="0"/>
        <v/>
      </c>
      <c r="Q9" s="228"/>
      <c r="AR9" s="116"/>
    </row>
    <row r="10" spans="1:44" x14ac:dyDescent="0.25">
      <c r="A10" s="271" t="s">
        <v>128</v>
      </c>
      <c r="B10" s="271"/>
      <c r="C10" s="271"/>
      <c r="D10" s="271"/>
      <c r="E10" s="271"/>
      <c r="F10" s="271"/>
      <c r="G10" s="271"/>
      <c r="H10" s="271"/>
      <c r="I10" s="271"/>
      <c r="J10" s="275"/>
      <c r="K10" s="227"/>
      <c r="L10" s="228">
        <v>1</v>
      </c>
      <c r="M10" s="228"/>
      <c r="N10" s="228">
        <v>8</v>
      </c>
      <c r="O10" s="228"/>
      <c r="P10" s="228" t="str">
        <f t="shared" si="0"/>
        <v/>
      </c>
      <c r="Q10" s="228"/>
      <c r="AR10" s="116">
        <f>J10</f>
        <v>0</v>
      </c>
    </row>
    <row r="11" spans="1:44" x14ac:dyDescent="0.25">
      <c r="A11" s="271" t="s">
        <v>129</v>
      </c>
      <c r="B11" s="271"/>
      <c r="C11" s="271"/>
      <c r="D11" s="271"/>
      <c r="E11" s="271"/>
      <c r="F11" s="271"/>
      <c r="G11" s="271"/>
      <c r="H11" s="271"/>
      <c r="I11" s="271"/>
      <c r="J11" s="275"/>
      <c r="K11" s="227"/>
      <c r="L11" s="228">
        <v>1</v>
      </c>
      <c r="M11" s="228"/>
      <c r="N11" s="228">
        <v>7</v>
      </c>
      <c r="O11" s="228"/>
      <c r="P11" s="228" t="str">
        <f t="shared" si="0"/>
        <v/>
      </c>
      <c r="Q11" s="228"/>
      <c r="AR11" s="116"/>
    </row>
    <row r="12" spans="1:44" x14ac:dyDescent="0.25">
      <c r="A12" s="271" t="s">
        <v>130</v>
      </c>
      <c r="B12" s="271"/>
      <c r="C12" s="271"/>
      <c r="D12" s="271"/>
      <c r="E12" s="271"/>
      <c r="F12" s="271"/>
      <c r="G12" s="271"/>
      <c r="H12" s="271"/>
      <c r="I12" s="271"/>
      <c r="J12" s="275"/>
      <c r="K12" s="227"/>
      <c r="L12" s="228">
        <v>1</v>
      </c>
      <c r="M12" s="228"/>
      <c r="N12" s="228">
        <v>10</v>
      </c>
      <c r="O12" s="228"/>
      <c r="P12" s="228" t="str">
        <f t="shared" si="0"/>
        <v/>
      </c>
      <c r="Q12" s="228"/>
      <c r="AR12" s="116"/>
    </row>
    <row r="13" spans="1:44" x14ac:dyDescent="0.25">
      <c r="A13" s="271" t="s">
        <v>131</v>
      </c>
      <c r="B13" s="271"/>
      <c r="C13" s="271"/>
      <c r="D13" s="271"/>
      <c r="E13" s="271"/>
      <c r="F13" s="271"/>
      <c r="G13" s="271"/>
      <c r="H13" s="271"/>
      <c r="I13" s="271"/>
      <c r="J13" s="275"/>
      <c r="K13" s="227"/>
      <c r="L13" s="228">
        <v>1</v>
      </c>
      <c r="M13" s="228"/>
      <c r="N13" s="228">
        <v>6</v>
      </c>
      <c r="O13" s="228"/>
      <c r="P13" s="228" t="str">
        <f t="shared" si="0"/>
        <v/>
      </c>
      <c r="Q13" s="228"/>
      <c r="AR13" s="116"/>
    </row>
    <row r="14" spans="1:44" x14ac:dyDescent="0.25">
      <c r="A14" s="271" t="s">
        <v>180</v>
      </c>
      <c r="B14" s="271"/>
      <c r="C14" s="271"/>
      <c r="D14" s="271"/>
      <c r="E14" s="271"/>
      <c r="F14" s="271"/>
      <c r="G14" s="271"/>
      <c r="H14" s="271"/>
      <c r="I14" s="271"/>
      <c r="J14" s="275"/>
      <c r="K14" s="227"/>
      <c r="L14" s="228">
        <v>1</v>
      </c>
      <c r="M14" s="228"/>
      <c r="N14" s="228">
        <v>14</v>
      </c>
      <c r="O14" s="228"/>
      <c r="P14" s="228" t="str">
        <f t="shared" si="0"/>
        <v/>
      </c>
      <c r="Q14" s="228"/>
      <c r="R14" s="226" t="s">
        <v>189</v>
      </c>
      <c r="S14" s="226"/>
      <c r="T14" s="226"/>
      <c r="U14" s="274"/>
      <c r="V14" s="274"/>
      <c r="W14" s="274"/>
      <c r="X14" s="274"/>
      <c r="Y14" s="274"/>
      <c r="AR14" s="116"/>
    </row>
    <row r="15" spans="1:44" x14ac:dyDescent="0.25">
      <c r="A15" s="271" t="s">
        <v>132</v>
      </c>
      <c r="B15" s="271"/>
      <c r="C15" s="271"/>
      <c r="D15" s="271"/>
      <c r="E15" s="271"/>
      <c r="F15" s="271"/>
      <c r="G15" s="271"/>
      <c r="H15" s="271"/>
      <c r="I15" s="271"/>
      <c r="J15" s="275"/>
      <c r="K15" s="227"/>
      <c r="L15" s="228">
        <v>1</v>
      </c>
      <c r="M15" s="228"/>
      <c r="N15" s="228">
        <v>11</v>
      </c>
      <c r="O15" s="228"/>
      <c r="P15" s="228" t="str">
        <f t="shared" si="0"/>
        <v/>
      </c>
      <c r="Q15" s="228"/>
      <c r="AR15" s="116">
        <f>J15</f>
        <v>0</v>
      </c>
    </row>
    <row r="16" spans="1:44" x14ac:dyDescent="0.25">
      <c r="A16" s="271" t="s">
        <v>133</v>
      </c>
      <c r="B16" s="271"/>
      <c r="C16" s="271"/>
      <c r="D16" s="271"/>
      <c r="E16" s="271"/>
      <c r="F16" s="271"/>
      <c r="G16" s="271"/>
      <c r="H16" s="271"/>
      <c r="I16" s="271"/>
      <c r="J16" s="275"/>
      <c r="K16" s="227"/>
      <c r="L16" s="228">
        <v>6</v>
      </c>
      <c r="M16" s="228"/>
      <c r="N16" s="228">
        <v>4</v>
      </c>
      <c r="O16" s="228"/>
      <c r="P16" s="228" t="str">
        <f t="shared" si="0"/>
        <v/>
      </c>
      <c r="Q16" s="228"/>
      <c r="AR16" s="116"/>
    </row>
    <row r="17" spans="1:44" x14ac:dyDescent="0.25">
      <c r="A17" s="271" t="s">
        <v>134</v>
      </c>
      <c r="B17" s="271"/>
      <c r="C17" s="271"/>
      <c r="D17" s="271"/>
      <c r="E17" s="271"/>
      <c r="F17" s="271"/>
      <c r="G17" s="271"/>
      <c r="H17" s="271"/>
      <c r="I17" s="271"/>
      <c r="J17" s="275"/>
      <c r="K17" s="227"/>
      <c r="L17" s="228">
        <v>1</v>
      </c>
      <c r="M17" s="228"/>
      <c r="N17" s="228">
        <v>11</v>
      </c>
      <c r="O17" s="228"/>
      <c r="P17" s="228" t="str">
        <f t="shared" si="0"/>
        <v/>
      </c>
      <c r="Q17" s="228"/>
      <c r="AR17" s="116"/>
    </row>
    <row r="18" spans="1:44" x14ac:dyDescent="0.25">
      <c r="A18" s="271" t="s">
        <v>135</v>
      </c>
      <c r="B18" s="271"/>
      <c r="C18" s="271"/>
      <c r="D18" s="271"/>
      <c r="E18" s="271"/>
      <c r="F18" s="271"/>
      <c r="G18" s="271"/>
      <c r="H18" s="271"/>
      <c r="I18" s="271"/>
      <c r="J18" s="275"/>
      <c r="K18" s="227"/>
      <c r="L18" s="228">
        <v>1</v>
      </c>
      <c r="M18" s="228"/>
      <c r="N18" s="228">
        <v>10</v>
      </c>
      <c r="O18" s="228"/>
      <c r="P18" s="228" t="str">
        <f t="shared" si="0"/>
        <v/>
      </c>
      <c r="Q18" s="228"/>
      <c r="AR18" s="116"/>
    </row>
    <row r="19" spans="1:44" x14ac:dyDescent="0.25">
      <c r="A19" s="271" t="s">
        <v>136</v>
      </c>
      <c r="B19" s="271"/>
      <c r="C19" s="271"/>
      <c r="D19" s="271"/>
      <c r="E19" s="271"/>
      <c r="F19" s="271"/>
      <c r="G19" s="271"/>
      <c r="H19" s="271"/>
      <c r="I19" s="271"/>
      <c r="J19" s="275"/>
      <c r="K19" s="227"/>
      <c r="L19" s="228">
        <v>3</v>
      </c>
      <c r="M19" s="228"/>
      <c r="N19" s="228">
        <v>7</v>
      </c>
      <c r="O19" s="228"/>
      <c r="P19" s="228" t="str">
        <f t="shared" si="0"/>
        <v/>
      </c>
      <c r="Q19" s="228"/>
      <c r="AR19" s="116"/>
    </row>
    <row r="20" spans="1:44" x14ac:dyDescent="0.25">
      <c r="A20" s="271" t="s">
        <v>137</v>
      </c>
      <c r="B20" s="271"/>
      <c r="C20" s="271"/>
      <c r="D20" s="271"/>
      <c r="E20" s="271"/>
      <c r="F20" s="271"/>
      <c r="G20" s="271"/>
      <c r="H20" s="271"/>
      <c r="I20" s="271"/>
      <c r="J20" s="275"/>
      <c r="K20" s="227"/>
      <c r="L20" s="228">
        <v>1</v>
      </c>
      <c r="M20" s="228"/>
      <c r="N20" s="228">
        <v>10</v>
      </c>
      <c r="O20" s="228"/>
      <c r="P20" s="228" t="str">
        <f t="shared" si="0"/>
        <v/>
      </c>
      <c r="Q20" s="228"/>
      <c r="R20" s="226" t="s">
        <v>221</v>
      </c>
      <c r="S20" s="226"/>
      <c r="T20" s="226"/>
      <c r="U20" s="277"/>
      <c r="V20" s="277"/>
      <c r="W20" s="277"/>
      <c r="X20" s="277"/>
      <c r="Y20" s="277"/>
      <c r="AR20" s="116"/>
    </row>
    <row r="21" spans="1:44" x14ac:dyDescent="0.25">
      <c r="A21" s="271" t="s">
        <v>138</v>
      </c>
      <c r="B21" s="271"/>
      <c r="C21" s="271"/>
      <c r="D21" s="271"/>
      <c r="E21" s="271"/>
      <c r="F21" s="271"/>
      <c r="G21" s="271"/>
      <c r="H21" s="271"/>
      <c r="I21" s="271"/>
      <c r="J21" s="275"/>
      <c r="K21" s="227"/>
      <c r="L21" s="228">
        <v>1</v>
      </c>
      <c r="M21" s="228"/>
      <c r="N21" s="228">
        <v>6</v>
      </c>
      <c r="O21" s="228"/>
      <c r="P21" s="228" t="str">
        <f t="shared" si="0"/>
        <v/>
      </c>
      <c r="Q21" s="228"/>
      <c r="AR21" s="116"/>
    </row>
    <row r="22" spans="1:44" x14ac:dyDescent="0.25">
      <c r="A22" s="271" t="s">
        <v>181</v>
      </c>
      <c r="B22" s="271"/>
      <c r="C22" s="271"/>
      <c r="D22" s="271"/>
      <c r="E22" s="271"/>
      <c r="F22" s="271"/>
      <c r="G22" s="271"/>
      <c r="H22" s="271"/>
      <c r="I22" s="271"/>
      <c r="J22" s="275"/>
      <c r="K22" s="227"/>
      <c r="L22" s="228">
        <v>3</v>
      </c>
      <c r="M22" s="228"/>
      <c r="N22" s="228">
        <v>8</v>
      </c>
      <c r="O22" s="228"/>
      <c r="P22" s="228" t="str">
        <f t="shared" si="0"/>
        <v/>
      </c>
      <c r="Q22" s="228"/>
      <c r="AR22" s="116"/>
    </row>
    <row r="23" spans="1:44" x14ac:dyDescent="0.25">
      <c r="A23" s="271" t="s">
        <v>139</v>
      </c>
      <c r="B23" s="271"/>
      <c r="C23" s="271"/>
      <c r="D23" s="271"/>
      <c r="E23" s="271"/>
      <c r="F23" s="271"/>
      <c r="G23" s="271"/>
      <c r="H23" s="271"/>
      <c r="I23" s="271"/>
      <c r="J23" s="275"/>
      <c r="K23" s="227"/>
      <c r="L23" s="228">
        <v>1</v>
      </c>
      <c r="M23" s="228"/>
      <c r="N23" s="228">
        <v>10</v>
      </c>
      <c r="O23" s="228"/>
      <c r="P23" s="228" t="str">
        <f t="shared" si="0"/>
        <v/>
      </c>
      <c r="Q23" s="228"/>
      <c r="AR23" s="116"/>
    </row>
    <row r="24" spans="1:44" x14ac:dyDescent="0.25">
      <c r="A24" s="271" t="s">
        <v>140</v>
      </c>
      <c r="B24" s="271"/>
      <c r="C24" s="271"/>
      <c r="D24" s="271"/>
      <c r="E24" s="271"/>
      <c r="F24" s="271"/>
      <c r="G24" s="271"/>
      <c r="H24" s="271"/>
      <c r="I24" s="271"/>
      <c r="J24" s="275"/>
      <c r="K24" s="227"/>
      <c r="L24" s="228">
        <v>1</v>
      </c>
      <c r="M24" s="228"/>
      <c r="N24" s="228">
        <v>12</v>
      </c>
      <c r="O24" s="228"/>
      <c r="P24" s="228" t="str">
        <f t="shared" si="0"/>
        <v/>
      </c>
      <c r="Q24" s="228"/>
      <c r="AR24" s="116">
        <f>J24</f>
        <v>0</v>
      </c>
    </row>
    <row r="25" spans="1:44" x14ac:dyDescent="0.25">
      <c r="A25" s="271" t="s">
        <v>182</v>
      </c>
      <c r="B25" s="271"/>
      <c r="C25" s="271"/>
      <c r="D25" s="271"/>
      <c r="E25" s="271"/>
      <c r="F25" s="271"/>
      <c r="G25" s="271"/>
      <c r="H25" s="271"/>
      <c r="I25" s="271"/>
      <c r="J25" s="275"/>
      <c r="K25" s="227"/>
      <c r="L25" s="228">
        <v>4</v>
      </c>
      <c r="M25" s="228"/>
      <c r="N25" s="228">
        <v>6</v>
      </c>
      <c r="O25" s="228"/>
      <c r="P25" s="228" t="str">
        <f t="shared" si="0"/>
        <v/>
      </c>
      <c r="Q25" s="228"/>
      <c r="AR25" s="116"/>
    </row>
    <row r="26" spans="1:44" x14ac:dyDescent="0.25">
      <c r="A26" s="271" t="s">
        <v>141</v>
      </c>
      <c r="B26" s="271"/>
      <c r="C26" s="271"/>
      <c r="D26" s="271"/>
      <c r="E26" s="271"/>
      <c r="F26" s="271"/>
      <c r="G26" s="271"/>
      <c r="H26" s="271"/>
      <c r="I26" s="271"/>
      <c r="J26" s="275"/>
      <c r="K26" s="227"/>
      <c r="L26" s="228">
        <v>1</v>
      </c>
      <c r="M26" s="228"/>
      <c r="N26" s="228">
        <v>5</v>
      </c>
      <c r="O26" s="228"/>
      <c r="P26" s="228" t="str">
        <f t="shared" si="0"/>
        <v/>
      </c>
      <c r="Q26" s="228"/>
      <c r="R26" s="226" t="s">
        <v>220</v>
      </c>
      <c r="S26" s="226"/>
      <c r="T26" s="226"/>
      <c r="U26" s="276"/>
      <c r="V26" s="276"/>
      <c r="W26" s="276"/>
      <c r="X26" s="276"/>
      <c r="Y26" s="276"/>
      <c r="AR26" s="116"/>
    </row>
    <row r="27" spans="1:44" x14ac:dyDescent="0.25">
      <c r="A27" s="271" t="s">
        <v>142</v>
      </c>
      <c r="B27" s="271"/>
      <c r="C27" s="271"/>
      <c r="D27" s="271"/>
      <c r="E27" s="271"/>
      <c r="F27" s="271"/>
      <c r="G27" s="271"/>
      <c r="H27" s="271"/>
      <c r="I27" s="271"/>
      <c r="J27" s="275"/>
      <c r="K27" s="227"/>
      <c r="L27" s="228">
        <v>1</v>
      </c>
      <c r="M27" s="228"/>
      <c r="N27" s="228">
        <v>7</v>
      </c>
      <c r="O27" s="228"/>
      <c r="P27" s="228" t="str">
        <f t="shared" si="0"/>
        <v/>
      </c>
      <c r="Q27" s="228"/>
      <c r="AR27" s="116"/>
    </row>
    <row r="28" spans="1:44" x14ac:dyDescent="0.25">
      <c r="A28" s="271" t="s">
        <v>143</v>
      </c>
      <c r="B28" s="271"/>
      <c r="C28" s="271"/>
      <c r="D28" s="271"/>
      <c r="E28" s="271"/>
      <c r="F28" s="271"/>
      <c r="G28" s="271"/>
      <c r="H28" s="271"/>
      <c r="I28" s="271"/>
      <c r="J28" s="275"/>
      <c r="K28" s="227"/>
      <c r="L28" s="228">
        <v>1</v>
      </c>
      <c r="M28" s="228"/>
      <c r="N28" s="228">
        <v>10</v>
      </c>
      <c r="O28" s="228"/>
      <c r="P28" s="228" t="str">
        <f t="shared" si="0"/>
        <v/>
      </c>
      <c r="Q28" s="228"/>
      <c r="AR28" s="116"/>
    </row>
    <row r="29" spans="1:44" x14ac:dyDescent="0.25">
      <c r="A29" s="271" t="s">
        <v>183</v>
      </c>
      <c r="B29" s="271"/>
      <c r="C29" s="271"/>
      <c r="D29" s="271"/>
      <c r="E29" s="271"/>
      <c r="F29" s="271"/>
      <c r="G29" s="271"/>
      <c r="H29" s="271"/>
      <c r="I29" s="271"/>
      <c r="J29" s="275"/>
      <c r="K29" s="227"/>
      <c r="L29" s="228">
        <v>2</v>
      </c>
      <c r="M29" s="228"/>
      <c r="N29" s="228" t="s">
        <v>188</v>
      </c>
      <c r="O29" s="228"/>
      <c r="P29" s="228" t="str">
        <f>IF(J29=1, 4, IF(J29=2, 10, ""))</f>
        <v/>
      </c>
      <c r="Q29" s="228"/>
      <c r="AR29" s="116"/>
    </row>
    <row r="30" spans="1:44" x14ac:dyDescent="0.25">
      <c r="A30" s="271" t="s">
        <v>144</v>
      </c>
      <c r="B30" s="271"/>
      <c r="C30" s="271"/>
      <c r="D30" s="271"/>
      <c r="E30" s="271"/>
      <c r="F30" s="271"/>
      <c r="G30" s="271"/>
      <c r="H30" s="271"/>
      <c r="I30" s="271"/>
      <c r="J30" s="275"/>
      <c r="K30" s="227"/>
      <c r="L30" s="228">
        <v>1</v>
      </c>
      <c r="M30" s="228"/>
      <c r="N30" s="228">
        <v>6</v>
      </c>
      <c r="O30" s="228"/>
      <c r="P30" s="228" t="str">
        <f t="shared" si="0"/>
        <v/>
      </c>
      <c r="Q30" s="228"/>
      <c r="AR30" s="116"/>
    </row>
    <row r="31" spans="1:44" x14ac:dyDescent="0.25">
      <c r="A31" s="271" t="s">
        <v>145</v>
      </c>
      <c r="B31" s="271"/>
      <c r="C31" s="271"/>
      <c r="D31" s="271"/>
      <c r="E31" s="271"/>
      <c r="F31" s="271"/>
      <c r="G31" s="271"/>
      <c r="H31" s="271"/>
      <c r="I31" s="271"/>
      <c r="J31" s="275"/>
      <c r="K31" s="227"/>
      <c r="L31" s="228">
        <v>1</v>
      </c>
      <c r="M31" s="228"/>
      <c r="N31" s="228">
        <v>3</v>
      </c>
      <c r="O31" s="228"/>
      <c r="P31" s="228" t="str">
        <f t="shared" si="0"/>
        <v/>
      </c>
      <c r="Q31" s="228"/>
      <c r="AR31" s="116"/>
    </row>
    <row r="32" spans="1:44" x14ac:dyDescent="0.25">
      <c r="A32" s="271" t="s">
        <v>146</v>
      </c>
      <c r="B32" s="271"/>
      <c r="C32" s="271"/>
      <c r="D32" s="271"/>
      <c r="E32" s="271"/>
      <c r="F32" s="271"/>
      <c r="G32" s="271"/>
      <c r="H32" s="271"/>
      <c r="I32" s="271"/>
      <c r="J32" s="275"/>
      <c r="K32" s="227"/>
      <c r="L32" s="228">
        <v>2</v>
      </c>
      <c r="M32" s="228"/>
      <c r="N32" s="228" t="s">
        <v>188</v>
      </c>
      <c r="O32" s="228"/>
      <c r="P32" s="228" t="str">
        <f>IF(J32=1, 4, IF(J32=2, 10, ""))</f>
        <v/>
      </c>
      <c r="Q32" s="228"/>
      <c r="AR32" s="116"/>
    </row>
    <row r="33" spans="1:44" x14ac:dyDescent="0.25">
      <c r="A33" s="271" t="s">
        <v>147</v>
      </c>
      <c r="B33" s="271"/>
      <c r="C33" s="271"/>
      <c r="D33" s="271"/>
      <c r="E33" s="271"/>
      <c r="F33" s="271"/>
      <c r="G33" s="271"/>
      <c r="H33" s="271"/>
      <c r="I33" s="271"/>
      <c r="J33" s="275"/>
      <c r="K33" s="227"/>
      <c r="L33" s="228">
        <v>1</v>
      </c>
      <c r="M33" s="228"/>
      <c r="N33" s="228">
        <v>7</v>
      </c>
      <c r="O33" s="228"/>
      <c r="P33" s="228" t="str">
        <f t="shared" si="0"/>
        <v/>
      </c>
      <c r="Q33" s="228"/>
      <c r="R33" s="226" t="s">
        <v>221</v>
      </c>
      <c r="S33" s="226"/>
      <c r="T33" s="226"/>
      <c r="U33" s="274"/>
      <c r="V33" s="274"/>
      <c r="W33" s="274"/>
      <c r="X33" s="274"/>
      <c r="Y33" s="274"/>
      <c r="AR33" s="116"/>
    </row>
    <row r="34" spans="1:44" x14ac:dyDescent="0.25">
      <c r="A34" s="271" t="s">
        <v>148</v>
      </c>
      <c r="B34" s="271"/>
      <c r="C34" s="271"/>
      <c r="D34" s="271"/>
      <c r="E34" s="271"/>
      <c r="F34" s="271"/>
      <c r="G34" s="271"/>
      <c r="H34" s="271"/>
      <c r="I34" s="271"/>
      <c r="J34" s="275"/>
      <c r="K34" s="227"/>
      <c r="L34" s="228">
        <v>1</v>
      </c>
      <c r="M34" s="228"/>
      <c r="N34" s="228">
        <v>9</v>
      </c>
      <c r="O34" s="228"/>
      <c r="P34" s="228" t="str">
        <f t="shared" si="0"/>
        <v/>
      </c>
      <c r="Q34" s="228"/>
      <c r="AR34" s="116"/>
    </row>
    <row r="35" spans="1:44" x14ac:dyDescent="0.25">
      <c r="A35" s="271" t="s">
        <v>149</v>
      </c>
      <c r="B35" s="271"/>
      <c r="C35" s="271"/>
      <c r="D35" s="271"/>
      <c r="E35" s="271"/>
      <c r="F35" s="271"/>
      <c r="G35" s="271"/>
      <c r="H35" s="271"/>
      <c r="I35" s="271"/>
      <c r="J35" s="275"/>
      <c r="K35" s="227"/>
      <c r="L35" s="228">
        <v>3</v>
      </c>
      <c r="M35" s="228"/>
      <c r="N35" s="228">
        <v>3</v>
      </c>
      <c r="O35" s="228"/>
      <c r="P35" s="228" t="str">
        <f t="shared" si="0"/>
        <v/>
      </c>
      <c r="Q35" s="228"/>
      <c r="AR35" s="116"/>
    </row>
    <row r="36" spans="1:44" x14ac:dyDescent="0.25">
      <c r="A36" s="272" t="s">
        <v>51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28">
        <f>SUM(P5:Q35)</f>
        <v>0</v>
      </c>
      <c r="Q36" s="228"/>
      <c r="AR36" s="126">
        <f>SUM(AR5:AR35)</f>
        <v>0</v>
      </c>
    </row>
  </sheetData>
  <mergeCells count="190">
    <mergeCell ref="AA1:AB1"/>
    <mergeCell ref="AD1:AG1"/>
    <mergeCell ref="AH1:AI1"/>
    <mergeCell ref="W2:Z2"/>
    <mergeCell ref="AA2:AB2"/>
    <mergeCell ref="P2:Q2"/>
    <mergeCell ref="R2:U2"/>
    <mergeCell ref="U14:Y14"/>
    <mergeCell ref="R26:T26"/>
    <mergeCell ref="U26:Y26"/>
    <mergeCell ref="R20:T20"/>
    <mergeCell ref="U20:Y20"/>
    <mergeCell ref="R33:T33"/>
    <mergeCell ref="U33:Y33"/>
    <mergeCell ref="A1:B1"/>
    <mergeCell ref="C1:G1"/>
    <mergeCell ref="I1:K1"/>
    <mergeCell ref="L1:N1"/>
    <mergeCell ref="P1:S1"/>
    <mergeCell ref="T1:U1"/>
    <mergeCell ref="W1:Z1"/>
    <mergeCell ref="R14:T14"/>
    <mergeCell ref="P30:Q30"/>
    <mergeCell ref="P31:Q31"/>
    <mergeCell ref="P32:Q32"/>
    <mergeCell ref="P33:Q33"/>
    <mergeCell ref="P12:Q12"/>
    <mergeCell ref="P13:Q13"/>
    <mergeCell ref="P14:Q14"/>
    <mergeCell ref="P15:Q15"/>
    <mergeCell ref="P16:Q16"/>
    <mergeCell ref="P17:Q17"/>
    <mergeCell ref="N18:O18"/>
    <mergeCell ref="N19:O19"/>
    <mergeCell ref="N20:O20"/>
    <mergeCell ref="N21:O21"/>
    <mergeCell ref="P34:Q34"/>
    <mergeCell ref="P35:Q35"/>
    <mergeCell ref="P24:Q24"/>
    <mergeCell ref="P25:Q25"/>
    <mergeCell ref="P26:Q26"/>
    <mergeCell ref="P27:Q27"/>
    <mergeCell ref="P28:Q28"/>
    <mergeCell ref="P29:Q29"/>
    <mergeCell ref="P18:Q18"/>
    <mergeCell ref="P19:Q19"/>
    <mergeCell ref="P20:Q20"/>
    <mergeCell ref="P21:Q21"/>
    <mergeCell ref="P22:Q22"/>
    <mergeCell ref="P23:Q23"/>
    <mergeCell ref="N34:O34"/>
    <mergeCell ref="N35:O35"/>
    <mergeCell ref="P4:Q4"/>
    <mergeCell ref="P5:Q5"/>
    <mergeCell ref="P6:Q6"/>
    <mergeCell ref="P7:Q7"/>
    <mergeCell ref="P8:Q8"/>
    <mergeCell ref="P9:Q9"/>
    <mergeCell ref="P10:Q10"/>
    <mergeCell ref="P11:Q11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N26:O26"/>
    <mergeCell ref="N27:O27"/>
    <mergeCell ref="N16:O16"/>
    <mergeCell ref="N17:O17"/>
    <mergeCell ref="N10:O10"/>
    <mergeCell ref="N11:O11"/>
    <mergeCell ref="N12:O12"/>
    <mergeCell ref="N13:O13"/>
    <mergeCell ref="N14:O14"/>
    <mergeCell ref="N15:O15"/>
    <mergeCell ref="N4:O4"/>
    <mergeCell ref="N5:O5"/>
    <mergeCell ref="N6:O6"/>
    <mergeCell ref="N7:O7"/>
    <mergeCell ref="N8:O8"/>
    <mergeCell ref="N9:O9"/>
    <mergeCell ref="L33:M33"/>
    <mergeCell ref="J34:K34"/>
    <mergeCell ref="L34:M34"/>
    <mergeCell ref="J35:K35"/>
    <mergeCell ref="L35:M35"/>
    <mergeCell ref="J30:K30"/>
    <mergeCell ref="L30:M30"/>
    <mergeCell ref="J31:K31"/>
    <mergeCell ref="L31:M31"/>
    <mergeCell ref="J32:K32"/>
    <mergeCell ref="L32:M32"/>
    <mergeCell ref="L27:M27"/>
    <mergeCell ref="J28:K28"/>
    <mergeCell ref="L28:M28"/>
    <mergeCell ref="J29:K29"/>
    <mergeCell ref="L29:M29"/>
    <mergeCell ref="J24:K24"/>
    <mergeCell ref="L24:M24"/>
    <mergeCell ref="J25:K25"/>
    <mergeCell ref="L25:M25"/>
    <mergeCell ref="J26:K26"/>
    <mergeCell ref="L26:M26"/>
    <mergeCell ref="L21:M21"/>
    <mergeCell ref="J22:K22"/>
    <mergeCell ref="L22:M22"/>
    <mergeCell ref="J23:K23"/>
    <mergeCell ref="L23:M23"/>
    <mergeCell ref="J18:K18"/>
    <mergeCell ref="L18:M18"/>
    <mergeCell ref="J19:K19"/>
    <mergeCell ref="L19:M19"/>
    <mergeCell ref="J20:K20"/>
    <mergeCell ref="L20:M20"/>
    <mergeCell ref="A17:I17"/>
    <mergeCell ref="L9:M9"/>
    <mergeCell ref="J10:K10"/>
    <mergeCell ref="L10:M10"/>
    <mergeCell ref="J11:K11"/>
    <mergeCell ref="L11:M11"/>
    <mergeCell ref="J6:K6"/>
    <mergeCell ref="L6:M6"/>
    <mergeCell ref="J7:K7"/>
    <mergeCell ref="L7:M7"/>
    <mergeCell ref="J8:K8"/>
    <mergeCell ref="L8:M8"/>
    <mergeCell ref="L15:M15"/>
    <mergeCell ref="J16:K16"/>
    <mergeCell ref="L16:M16"/>
    <mergeCell ref="J17:K17"/>
    <mergeCell ref="L17:M17"/>
    <mergeCell ref="J12:K12"/>
    <mergeCell ref="L12:M12"/>
    <mergeCell ref="J13:K13"/>
    <mergeCell ref="L13:M13"/>
    <mergeCell ref="J14:K14"/>
    <mergeCell ref="L14:M14"/>
    <mergeCell ref="P36:Q36"/>
    <mergeCell ref="A36:O36"/>
    <mergeCell ref="R7:T7"/>
    <mergeCell ref="U7:Y7"/>
    <mergeCell ref="A5:I5"/>
    <mergeCell ref="L5:M5"/>
    <mergeCell ref="J5:K5"/>
    <mergeCell ref="A35:I35"/>
    <mergeCell ref="A34:I34"/>
    <mergeCell ref="A33:I33"/>
    <mergeCell ref="A32:I32"/>
    <mergeCell ref="A31:I31"/>
    <mergeCell ref="A30:I30"/>
    <mergeCell ref="A29:I29"/>
    <mergeCell ref="A7:I7"/>
    <mergeCell ref="J9:K9"/>
    <mergeCell ref="J15:K15"/>
    <mergeCell ref="J21:K21"/>
    <mergeCell ref="J27:K27"/>
    <mergeCell ref="J33:K33"/>
    <mergeCell ref="A22:I22"/>
    <mergeCell ref="A21:I21"/>
    <mergeCell ref="A13:I13"/>
    <mergeCell ref="A12:I12"/>
    <mergeCell ref="L4:M4"/>
    <mergeCell ref="J4:K4"/>
    <mergeCell ref="A4:I4"/>
    <mergeCell ref="A2:E2"/>
    <mergeCell ref="F2:G2"/>
    <mergeCell ref="I2:L2"/>
    <mergeCell ref="M2:N2"/>
    <mergeCell ref="A6:I6"/>
    <mergeCell ref="A28:I28"/>
    <mergeCell ref="A27:I27"/>
    <mergeCell ref="A26:I26"/>
    <mergeCell ref="A25:I25"/>
    <mergeCell ref="A24:I24"/>
    <mergeCell ref="A23:I23"/>
    <mergeCell ref="A16:I16"/>
    <mergeCell ref="A15:I15"/>
    <mergeCell ref="A14:I14"/>
    <mergeCell ref="A20:I20"/>
    <mergeCell ref="A11:I11"/>
    <mergeCell ref="A10:I10"/>
    <mergeCell ref="A9:I9"/>
    <mergeCell ref="A8:I8"/>
    <mergeCell ref="A19:I19"/>
    <mergeCell ref="A18:I1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DATA!$I$58:$I$65</xm:f>
          </x14:formula1>
          <xm:sqref>U14:W14</xm:sqref>
        </x14:dataValidation>
        <x14:dataValidation type="list" allowBlank="1" showInputMessage="1" showErrorMessage="1">
          <x14:formula1>
            <xm:f>DATA!$M$58:$M$63</xm:f>
          </x14:formula1>
          <xm:sqref>U33:Y33</xm:sqref>
        </x14:dataValidation>
        <x14:dataValidation type="list" allowBlank="1" showInputMessage="1" showErrorMessage="1">
          <x14:formula1>
            <xm:f>DATA!$A$58:$A$132</xm:f>
          </x14:formula1>
          <xm:sqref>U7:Y7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5"/>
  <sheetViews>
    <sheetView workbookViewId="0">
      <pane ySplit="2" topLeftCell="A3" activePane="bottomLeft" state="frozen"/>
      <selection pane="bottomLeft" activeCell="J5" sqref="J5:K5"/>
    </sheetView>
  </sheetViews>
  <sheetFormatPr defaultColWidth="3.42578125" defaultRowHeight="15" x14ac:dyDescent="0.25"/>
  <cols>
    <col min="1" max="1" width="3.42578125" style="1"/>
  </cols>
  <sheetData>
    <row r="1" spans="1:44" s="124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12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12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12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12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129" t="s">
        <v>56</v>
      </c>
    </row>
    <row r="2" spans="1:44" s="124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12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12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12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129" t="s">
        <v>56</v>
      </c>
      <c r="AJ2" s="129" t="s">
        <v>56</v>
      </c>
    </row>
    <row r="3" spans="1:44" s="124" customFormat="1" x14ac:dyDescent="0.25">
      <c r="A3" s="134"/>
      <c r="B3" s="134"/>
      <c r="C3" s="134"/>
      <c r="D3" s="134"/>
      <c r="E3" s="134"/>
      <c r="F3" s="120"/>
      <c r="G3" s="120"/>
      <c r="H3" s="129"/>
      <c r="I3" s="127"/>
      <c r="J3" s="127"/>
      <c r="K3" s="127"/>
      <c r="L3" s="127"/>
      <c r="M3" s="120"/>
      <c r="N3" s="120"/>
      <c r="O3" s="129"/>
      <c r="P3" s="127"/>
      <c r="Q3" s="127"/>
      <c r="R3" s="118"/>
      <c r="S3" s="118"/>
      <c r="T3" s="118"/>
      <c r="U3" s="118"/>
      <c r="V3" s="129"/>
      <c r="AC3" s="129"/>
      <c r="AJ3" s="129"/>
    </row>
    <row r="4" spans="1:44" s="19" customFormat="1" x14ac:dyDescent="0.25">
      <c r="A4" s="262" t="s">
        <v>206</v>
      </c>
      <c r="B4" s="262"/>
      <c r="C4" s="262"/>
      <c r="D4" s="262"/>
      <c r="E4" s="262"/>
      <c r="F4" s="262"/>
      <c r="G4" s="262"/>
      <c r="H4" s="262"/>
      <c r="I4" s="262"/>
      <c r="J4" s="263" t="s">
        <v>184</v>
      </c>
      <c r="K4" s="263"/>
      <c r="L4" s="263" t="s">
        <v>185</v>
      </c>
      <c r="M4" s="263"/>
      <c r="N4" s="263" t="s">
        <v>186</v>
      </c>
      <c r="O4" s="263"/>
      <c r="P4" s="263" t="s">
        <v>49</v>
      </c>
      <c r="Q4" s="263"/>
      <c r="R4" s="279" t="s">
        <v>229</v>
      </c>
      <c r="S4" s="279"/>
    </row>
    <row r="5" spans="1:44" x14ac:dyDescent="0.25">
      <c r="A5" s="271" t="s">
        <v>208</v>
      </c>
      <c r="B5" s="271"/>
      <c r="C5" s="271"/>
      <c r="D5" s="271"/>
      <c r="E5" s="271"/>
      <c r="F5" s="271"/>
      <c r="G5" s="271"/>
      <c r="H5" s="271"/>
      <c r="I5" s="271"/>
      <c r="J5" s="275"/>
      <c r="K5" s="227"/>
      <c r="L5" s="228">
        <v>4</v>
      </c>
      <c r="M5" s="228"/>
      <c r="N5" s="228" t="s">
        <v>209</v>
      </c>
      <c r="O5" s="228"/>
      <c r="P5" s="228" t="str">
        <f>IF(J5=1, 4, IF(J5=2, 9, IF(J5=3,20, IF(J5=4, 25, ""))))</f>
        <v/>
      </c>
      <c r="Q5" s="228"/>
      <c r="R5" s="280"/>
      <c r="S5" s="281"/>
      <c r="T5" s="226" t="s">
        <v>215</v>
      </c>
      <c r="U5" s="226"/>
      <c r="V5" s="226"/>
      <c r="W5" s="276"/>
      <c r="X5" s="276"/>
      <c r="Y5" s="276"/>
      <c r="Z5" s="276"/>
      <c r="AA5" s="276"/>
      <c r="AB5" s="276"/>
      <c r="AR5" s="116">
        <f>J5</f>
        <v>0</v>
      </c>
    </row>
    <row r="6" spans="1:44" x14ac:dyDescent="0.25">
      <c r="A6" s="271" t="s">
        <v>210</v>
      </c>
      <c r="B6" s="271"/>
      <c r="C6" s="271"/>
      <c r="D6" s="271"/>
      <c r="E6" s="271"/>
      <c r="F6" s="271"/>
      <c r="G6" s="271"/>
      <c r="H6" s="271"/>
      <c r="I6" s="271"/>
      <c r="J6" s="275"/>
      <c r="K6" s="227"/>
      <c r="L6" s="228">
        <v>8</v>
      </c>
      <c r="M6" s="228"/>
      <c r="N6" s="228" t="s">
        <v>209</v>
      </c>
      <c r="O6" s="228"/>
      <c r="P6" s="228" t="str">
        <f>IF(J6=1,5,IF(J6=2,10,IF(J6=3,10,IF(J6=4,15,IF(J6=5,15,IF(J6=6,20,IF(J6=7,20,IF(J6=8,25,""))))))))</f>
        <v/>
      </c>
      <c r="Q6" s="228"/>
      <c r="R6" s="280"/>
      <c r="S6" s="281"/>
      <c r="T6" s="226" t="s">
        <v>216</v>
      </c>
      <c r="U6" s="226"/>
      <c r="V6" s="226"/>
      <c r="W6" s="276"/>
      <c r="X6" s="276"/>
      <c r="Y6" s="276"/>
      <c r="Z6" s="276"/>
      <c r="AA6" s="276"/>
      <c r="AB6" s="276"/>
      <c r="AR6" s="116"/>
    </row>
    <row r="7" spans="1:44" x14ac:dyDescent="0.25">
      <c r="A7" s="271" t="s">
        <v>150</v>
      </c>
      <c r="B7" s="271"/>
      <c r="C7" s="271"/>
      <c r="D7" s="271"/>
      <c r="E7" s="271"/>
      <c r="F7" s="271"/>
      <c r="G7" s="271"/>
      <c r="H7" s="271"/>
      <c r="I7" s="271"/>
      <c r="J7" s="275"/>
      <c r="K7" s="227"/>
      <c r="L7" s="228">
        <v>1</v>
      </c>
      <c r="M7" s="228"/>
      <c r="N7" s="228">
        <v>10</v>
      </c>
      <c r="O7" s="228"/>
      <c r="P7" s="228" t="str">
        <f t="shared" ref="P7:P32" si="0">IF(J7&gt;0, J7*N7, "")</f>
        <v/>
      </c>
      <c r="Q7" s="228"/>
      <c r="R7" s="280"/>
      <c r="S7" s="281"/>
      <c r="AR7" s="116"/>
    </row>
    <row r="8" spans="1:44" x14ac:dyDescent="0.25">
      <c r="A8" s="271" t="s">
        <v>151</v>
      </c>
      <c r="B8" s="271"/>
      <c r="C8" s="271"/>
      <c r="D8" s="271"/>
      <c r="E8" s="271"/>
      <c r="F8" s="271"/>
      <c r="G8" s="271"/>
      <c r="H8" s="271"/>
      <c r="I8" s="271"/>
      <c r="J8" s="275"/>
      <c r="K8" s="227"/>
      <c r="L8" s="228">
        <v>1</v>
      </c>
      <c r="M8" s="228"/>
      <c r="N8" s="228">
        <v>12</v>
      </c>
      <c r="O8" s="228"/>
      <c r="P8" s="228" t="str">
        <f t="shared" si="0"/>
        <v/>
      </c>
      <c r="Q8" s="228"/>
      <c r="R8" s="280"/>
      <c r="S8" s="281"/>
      <c r="AR8" s="116"/>
    </row>
    <row r="9" spans="1:44" x14ac:dyDescent="0.25">
      <c r="A9" s="271" t="s">
        <v>152</v>
      </c>
      <c r="B9" s="271"/>
      <c r="C9" s="271"/>
      <c r="D9" s="271"/>
      <c r="E9" s="271"/>
      <c r="F9" s="271"/>
      <c r="G9" s="271"/>
      <c r="H9" s="271"/>
      <c r="I9" s="271"/>
      <c r="J9" s="275"/>
      <c r="K9" s="227"/>
      <c r="L9" s="228">
        <v>1</v>
      </c>
      <c r="M9" s="228"/>
      <c r="N9" s="228">
        <v>7</v>
      </c>
      <c r="O9" s="228"/>
      <c r="P9" s="228" t="str">
        <f t="shared" si="0"/>
        <v/>
      </c>
      <c r="Q9" s="228"/>
      <c r="R9" s="280"/>
      <c r="S9" s="281"/>
      <c r="AR9" s="116">
        <f>J9</f>
        <v>0</v>
      </c>
    </row>
    <row r="10" spans="1:44" x14ac:dyDescent="0.25">
      <c r="A10" s="271" t="s">
        <v>153</v>
      </c>
      <c r="B10" s="271"/>
      <c r="C10" s="271"/>
      <c r="D10" s="271"/>
      <c r="E10" s="271"/>
      <c r="F10" s="271"/>
      <c r="G10" s="271"/>
      <c r="H10" s="271"/>
      <c r="I10" s="271"/>
      <c r="J10" s="275"/>
      <c r="K10" s="227"/>
      <c r="L10" s="228">
        <v>1</v>
      </c>
      <c r="M10" s="228"/>
      <c r="N10" s="228">
        <v>15</v>
      </c>
      <c r="O10" s="228"/>
      <c r="P10" s="228" t="str">
        <f t="shared" si="0"/>
        <v/>
      </c>
      <c r="Q10" s="228"/>
      <c r="R10" s="280"/>
      <c r="S10" s="281"/>
      <c r="AR10" s="116"/>
    </row>
    <row r="11" spans="1:44" x14ac:dyDescent="0.25">
      <c r="A11" s="271" t="s">
        <v>154</v>
      </c>
      <c r="B11" s="271"/>
      <c r="C11" s="271"/>
      <c r="D11" s="271"/>
      <c r="E11" s="271"/>
      <c r="F11" s="271"/>
      <c r="G11" s="271"/>
      <c r="H11" s="271"/>
      <c r="I11" s="271"/>
      <c r="J11" s="275"/>
      <c r="K11" s="227"/>
      <c r="L11" s="228">
        <v>1</v>
      </c>
      <c r="M11" s="228"/>
      <c r="N11" s="228">
        <v>10</v>
      </c>
      <c r="O11" s="228"/>
      <c r="P11" s="228" t="str">
        <f t="shared" si="0"/>
        <v/>
      </c>
      <c r="Q11" s="228"/>
      <c r="R11" s="280"/>
      <c r="S11" s="281"/>
      <c r="T11" s="226" t="s">
        <v>436</v>
      </c>
      <c r="U11" s="226"/>
      <c r="V11" s="226"/>
      <c r="W11" s="276"/>
      <c r="X11" s="276"/>
      <c r="Y11" s="276"/>
      <c r="Z11" s="276"/>
      <c r="AA11" s="276"/>
      <c r="AB11" s="276"/>
      <c r="AR11" s="116"/>
    </row>
    <row r="12" spans="1:44" x14ac:dyDescent="0.25">
      <c r="A12" s="271" t="s">
        <v>155</v>
      </c>
      <c r="B12" s="271"/>
      <c r="C12" s="271"/>
      <c r="D12" s="271"/>
      <c r="E12" s="271"/>
      <c r="F12" s="271"/>
      <c r="G12" s="271"/>
      <c r="H12" s="271"/>
      <c r="I12" s="271"/>
      <c r="J12" s="275"/>
      <c r="K12" s="227"/>
      <c r="L12" s="228">
        <v>1</v>
      </c>
      <c r="M12" s="228"/>
      <c r="N12" s="228">
        <v>12</v>
      </c>
      <c r="O12" s="228"/>
      <c r="P12" s="228" t="str">
        <f t="shared" si="0"/>
        <v/>
      </c>
      <c r="Q12" s="228"/>
      <c r="R12" s="280"/>
      <c r="S12" s="281"/>
      <c r="AR12" s="116">
        <f>J12</f>
        <v>0</v>
      </c>
    </row>
    <row r="13" spans="1:44" x14ac:dyDescent="0.25">
      <c r="A13" s="271" t="s">
        <v>156</v>
      </c>
      <c r="B13" s="271"/>
      <c r="C13" s="271"/>
      <c r="D13" s="271"/>
      <c r="E13" s="271"/>
      <c r="F13" s="271"/>
      <c r="G13" s="271"/>
      <c r="H13" s="271"/>
      <c r="I13" s="271"/>
      <c r="J13" s="275"/>
      <c r="K13" s="227"/>
      <c r="L13" s="228">
        <v>3</v>
      </c>
      <c r="M13" s="228"/>
      <c r="N13" s="228">
        <v>3</v>
      </c>
      <c r="O13" s="228"/>
      <c r="P13" s="228" t="str">
        <f t="shared" si="0"/>
        <v/>
      </c>
      <c r="Q13" s="228"/>
      <c r="R13" s="280"/>
      <c r="S13" s="281"/>
      <c r="AR13" s="116"/>
    </row>
    <row r="14" spans="1:44" x14ac:dyDescent="0.25">
      <c r="A14" s="271" t="s">
        <v>157</v>
      </c>
      <c r="B14" s="271"/>
      <c r="C14" s="271"/>
      <c r="D14" s="271"/>
      <c r="E14" s="271"/>
      <c r="F14" s="271"/>
      <c r="G14" s="271"/>
      <c r="H14" s="271"/>
      <c r="I14" s="271"/>
      <c r="J14" s="275"/>
      <c r="K14" s="227"/>
      <c r="L14" s="228">
        <v>1</v>
      </c>
      <c r="M14" s="228"/>
      <c r="N14" s="228">
        <v>5</v>
      </c>
      <c r="O14" s="228"/>
      <c r="P14" s="228" t="str">
        <f t="shared" si="0"/>
        <v/>
      </c>
      <c r="Q14" s="228"/>
      <c r="R14" s="280"/>
      <c r="S14" s="281"/>
      <c r="T14" s="254" t="s">
        <v>218</v>
      </c>
      <c r="U14" s="254"/>
      <c r="V14" s="254"/>
      <c r="W14" s="282"/>
      <c r="X14" s="282"/>
      <c r="Y14" s="282"/>
      <c r="Z14" s="282"/>
      <c r="AA14" s="282"/>
      <c r="AB14" s="282"/>
      <c r="AR14" s="116"/>
    </row>
    <row r="15" spans="1:44" x14ac:dyDescent="0.25">
      <c r="A15" s="271" t="s">
        <v>158</v>
      </c>
      <c r="B15" s="271"/>
      <c r="C15" s="271"/>
      <c r="D15" s="271"/>
      <c r="E15" s="271"/>
      <c r="F15" s="271"/>
      <c r="G15" s="271"/>
      <c r="H15" s="271"/>
      <c r="I15" s="271"/>
      <c r="J15" s="275"/>
      <c r="K15" s="227"/>
      <c r="L15" s="228">
        <v>1</v>
      </c>
      <c r="M15" s="228"/>
      <c r="N15" s="228">
        <v>6</v>
      </c>
      <c r="O15" s="228"/>
      <c r="P15" s="228" t="str">
        <f t="shared" si="0"/>
        <v/>
      </c>
      <c r="Q15" s="228"/>
      <c r="R15" s="280"/>
      <c r="S15" s="281"/>
      <c r="AR15" s="116"/>
    </row>
    <row r="16" spans="1:44" x14ac:dyDescent="0.25">
      <c r="A16" s="271" t="s">
        <v>159</v>
      </c>
      <c r="B16" s="271"/>
      <c r="C16" s="271"/>
      <c r="D16" s="271"/>
      <c r="E16" s="271"/>
      <c r="F16" s="271"/>
      <c r="G16" s="271"/>
      <c r="H16" s="271"/>
      <c r="I16" s="271"/>
      <c r="J16" s="275"/>
      <c r="K16" s="227"/>
      <c r="L16" s="228">
        <v>4</v>
      </c>
      <c r="M16" s="228"/>
      <c r="N16" s="228">
        <v>4</v>
      </c>
      <c r="O16" s="228"/>
      <c r="P16" s="228" t="str">
        <f t="shared" si="0"/>
        <v/>
      </c>
      <c r="Q16" s="228"/>
      <c r="R16" s="280"/>
      <c r="S16" s="281"/>
      <c r="AR16" s="116"/>
    </row>
    <row r="17" spans="1:44" x14ac:dyDescent="0.25">
      <c r="A17" s="271" t="s">
        <v>160</v>
      </c>
      <c r="B17" s="271"/>
      <c r="C17" s="271"/>
      <c r="D17" s="271"/>
      <c r="E17" s="271"/>
      <c r="F17" s="271"/>
      <c r="G17" s="271"/>
      <c r="H17" s="271"/>
      <c r="I17" s="271"/>
      <c r="J17" s="275"/>
      <c r="K17" s="227"/>
      <c r="L17" s="228">
        <v>1</v>
      </c>
      <c r="M17" s="228"/>
      <c r="N17" s="228">
        <v>5</v>
      </c>
      <c r="O17" s="228"/>
      <c r="P17" s="228" t="str">
        <f t="shared" si="0"/>
        <v/>
      </c>
      <c r="Q17" s="228"/>
      <c r="R17" s="280"/>
      <c r="S17" s="281"/>
      <c r="AR17" s="116">
        <f>J17</f>
        <v>0</v>
      </c>
    </row>
    <row r="18" spans="1:44" x14ac:dyDescent="0.25">
      <c r="A18" s="271" t="s">
        <v>211</v>
      </c>
      <c r="B18" s="271"/>
      <c r="C18" s="271"/>
      <c r="D18" s="271"/>
      <c r="E18" s="271"/>
      <c r="F18" s="271"/>
      <c r="G18" s="271"/>
      <c r="H18" s="271"/>
      <c r="I18" s="271"/>
      <c r="J18" s="275"/>
      <c r="K18" s="227"/>
      <c r="L18" s="228">
        <v>2</v>
      </c>
      <c r="M18" s="228"/>
      <c r="N18" s="228" t="s">
        <v>212</v>
      </c>
      <c r="O18" s="228"/>
      <c r="P18" s="228" t="str">
        <f>IF(J18=1, 10, IF(J18=2, 15, ""))</f>
        <v/>
      </c>
      <c r="Q18" s="228"/>
      <c r="R18" s="280"/>
      <c r="S18" s="281"/>
      <c r="AR18" s="116"/>
    </row>
    <row r="19" spans="1:44" x14ac:dyDescent="0.25">
      <c r="A19" s="271" t="s">
        <v>161</v>
      </c>
      <c r="B19" s="271"/>
      <c r="C19" s="271"/>
      <c r="D19" s="271"/>
      <c r="E19" s="271"/>
      <c r="F19" s="271"/>
      <c r="G19" s="271"/>
      <c r="H19" s="271"/>
      <c r="I19" s="271"/>
      <c r="J19" s="275"/>
      <c r="K19" s="227"/>
      <c r="L19" s="228">
        <v>1</v>
      </c>
      <c r="M19" s="228"/>
      <c r="N19" s="228">
        <v>10</v>
      </c>
      <c r="O19" s="228"/>
      <c r="P19" s="228" t="str">
        <f t="shared" si="0"/>
        <v/>
      </c>
      <c r="Q19" s="228"/>
      <c r="R19" s="280"/>
      <c r="S19" s="281"/>
      <c r="AR19" s="116"/>
    </row>
    <row r="20" spans="1:44" x14ac:dyDescent="0.25">
      <c r="A20" s="271" t="s">
        <v>162</v>
      </c>
      <c r="B20" s="271"/>
      <c r="C20" s="271"/>
      <c r="D20" s="271"/>
      <c r="E20" s="271"/>
      <c r="F20" s="271"/>
      <c r="G20" s="271"/>
      <c r="H20" s="271"/>
      <c r="I20" s="271"/>
      <c r="J20" s="275"/>
      <c r="K20" s="227"/>
      <c r="L20" s="228">
        <v>1</v>
      </c>
      <c r="M20" s="228"/>
      <c r="N20" s="228">
        <v>9</v>
      </c>
      <c r="O20" s="228"/>
      <c r="P20" s="228" t="str">
        <f t="shared" si="0"/>
        <v/>
      </c>
      <c r="Q20" s="228"/>
      <c r="R20" s="280"/>
      <c r="S20" s="281"/>
      <c r="AR20" s="116"/>
    </row>
    <row r="21" spans="1:44" x14ac:dyDescent="0.25">
      <c r="A21" s="271" t="s">
        <v>163</v>
      </c>
      <c r="B21" s="271"/>
      <c r="C21" s="271"/>
      <c r="D21" s="271"/>
      <c r="E21" s="271"/>
      <c r="F21" s="271"/>
      <c r="G21" s="271"/>
      <c r="H21" s="271"/>
      <c r="I21" s="271"/>
      <c r="J21" s="275"/>
      <c r="K21" s="227"/>
      <c r="L21" s="228">
        <v>1</v>
      </c>
      <c r="M21" s="228"/>
      <c r="N21" s="228">
        <v>6</v>
      </c>
      <c r="O21" s="228"/>
      <c r="P21" s="228" t="str">
        <f t="shared" si="0"/>
        <v/>
      </c>
      <c r="Q21" s="228"/>
      <c r="R21" s="280"/>
      <c r="S21" s="281"/>
      <c r="AR21" s="116">
        <f>J21</f>
        <v>0</v>
      </c>
    </row>
    <row r="22" spans="1:44" x14ac:dyDescent="0.25">
      <c r="A22" s="271" t="s">
        <v>213</v>
      </c>
      <c r="B22" s="271"/>
      <c r="C22" s="271"/>
      <c r="D22" s="271"/>
      <c r="E22" s="271"/>
      <c r="F22" s="271"/>
      <c r="G22" s="271"/>
      <c r="H22" s="271"/>
      <c r="I22" s="271"/>
      <c r="J22" s="275"/>
      <c r="K22" s="227"/>
      <c r="L22" s="228">
        <v>6</v>
      </c>
      <c r="M22" s="228"/>
      <c r="N22" s="228" t="s">
        <v>209</v>
      </c>
      <c r="O22" s="228"/>
      <c r="P22" s="228" t="str">
        <f>IF(J22=1, 3, IF(J22=2, 5, IF(J22=3, 5, IF(J22=4, 7, IF(J22=5, 8, IF(J22=6, 10, ""))))))</f>
        <v/>
      </c>
      <c r="Q22" s="228"/>
      <c r="R22" s="280"/>
      <c r="S22" s="281"/>
      <c r="T22" s="226" t="s">
        <v>217</v>
      </c>
      <c r="U22" s="226"/>
      <c r="V22" s="226"/>
      <c r="W22" s="276"/>
      <c r="X22" s="276"/>
      <c r="Y22" s="276"/>
      <c r="Z22" s="276"/>
      <c r="AA22" s="276"/>
      <c r="AB22" s="276"/>
      <c r="AR22" s="116"/>
    </row>
    <row r="23" spans="1:44" x14ac:dyDescent="0.25">
      <c r="A23" s="271" t="s">
        <v>164</v>
      </c>
      <c r="B23" s="271"/>
      <c r="C23" s="271"/>
      <c r="D23" s="271"/>
      <c r="E23" s="271"/>
      <c r="F23" s="271"/>
      <c r="G23" s="271"/>
      <c r="H23" s="271"/>
      <c r="I23" s="271"/>
      <c r="J23" s="275"/>
      <c r="K23" s="227"/>
      <c r="L23" s="228">
        <v>1</v>
      </c>
      <c r="M23" s="228"/>
      <c r="N23" s="228">
        <v>10</v>
      </c>
      <c r="O23" s="228"/>
      <c r="P23" s="228" t="str">
        <f t="shared" si="0"/>
        <v/>
      </c>
      <c r="Q23" s="228"/>
      <c r="R23" s="280"/>
      <c r="S23" s="281"/>
      <c r="AR23" s="116">
        <f>J23</f>
        <v>0</v>
      </c>
    </row>
    <row r="24" spans="1:44" x14ac:dyDescent="0.25">
      <c r="A24" s="271" t="s">
        <v>165</v>
      </c>
      <c r="B24" s="271"/>
      <c r="C24" s="271"/>
      <c r="D24" s="271"/>
      <c r="E24" s="271"/>
      <c r="F24" s="271"/>
      <c r="G24" s="271"/>
      <c r="H24" s="271"/>
      <c r="I24" s="271"/>
      <c r="J24" s="275"/>
      <c r="K24" s="227"/>
      <c r="L24" s="228">
        <v>1</v>
      </c>
      <c r="M24" s="228"/>
      <c r="N24" s="228">
        <v>12</v>
      </c>
      <c r="O24" s="228"/>
      <c r="P24" s="228" t="str">
        <f t="shared" si="0"/>
        <v/>
      </c>
      <c r="Q24" s="228"/>
      <c r="R24" s="280"/>
      <c r="S24" s="281"/>
      <c r="AR24" s="116"/>
    </row>
    <row r="25" spans="1:44" x14ac:dyDescent="0.25">
      <c r="A25" s="271" t="s">
        <v>166</v>
      </c>
      <c r="B25" s="271"/>
      <c r="C25" s="271"/>
      <c r="D25" s="271"/>
      <c r="E25" s="271"/>
      <c r="F25" s="271"/>
      <c r="G25" s="271"/>
      <c r="H25" s="271"/>
      <c r="I25" s="271"/>
      <c r="J25" s="275"/>
      <c r="K25" s="227"/>
      <c r="L25" s="228">
        <v>1</v>
      </c>
      <c r="M25" s="228"/>
      <c r="N25" s="228">
        <v>5</v>
      </c>
      <c r="O25" s="228"/>
      <c r="P25" s="228" t="str">
        <f t="shared" si="0"/>
        <v/>
      </c>
      <c r="Q25" s="228"/>
      <c r="R25" s="280"/>
      <c r="S25" s="281"/>
      <c r="AR25" s="116"/>
    </row>
    <row r="26" spans="1:44" x14ac:dyDescent="0.25">
      <c r="A26" s="271" t="s">
        <v>214</v>
      </c>
      <c r="B26" s="271"/>
      <c r="C26" s="271"/>
      <c r="D26" s="271"/>
      <c r="E26" s="271"/>
      <c r="F26" s="271"/>
      <c r="G26" s="271"/>
      <c r="H26" s="271"/>
      <c r="I26" s="271"/>
      <c r="J26" s="275"/>
      <c r="K26" s="227"/>
      <c r="L26" s="228">
        <v>4</v>
      </c>
      <c r="M26" s="228"/>
      <c r="N26" s="228" t="s">
        <v>209</v>
      </c>
      <c r="O26" s="228"/>
      <c r="P26" s="228" t="str">
        <f>IF(J26=1, 5, IF(J26=2, 10, IF(J26=3, 15, IF(J26=4, 25, ""))))</f>
        <v/>
      </c>
      <c r="Q26" s="228"/>
      <c r="R26" s="280"/>
      <c r="S26" s="281"/>
      <c r="AR26" s="116">
        <f>IF(J26=2, 1, 0)</f>
        <v>0</v>
      </c>
    </row>
    <row r="27" spans="1:44" x14ac:dyDescent="0.25">
      <c r="A27" s="271" t="s">
        <v>167</v>
      </c>
      <c r="B27" s="271"/>
      <c r="C27" s="271"/>
      <c r="D27" s="271"/>
      <c r="E27" s="271"/>
      <c r="F27" s="271"/>
      <c r="G27" s="271"/>
      <c r="H27" s="271"/>
      <c r="I27" s="271"/>
      <c r="J27" s="275"/>
      <c r="K27" s="227"/>
      <c r="L27" s="228">
        <v>1</v>
      </c>
      <c r="M27" s="228"/>
      <c r="N27" s="228">
        <v>8</v>
      </c>
      <c r="O27" s="228"/>
      <c r="P27" s="228" t="str">
        <f t="shared" si="0"/>
        <v/>
      </c>
      <c r="Q27" s="228"/>
      <c r="R27" s="280"/>
      <c r="S27" s="281"/>
      <c r="AR27" s="116"/>
    </row>
    <row r="28" spans="1:44" x14ac:dyDescent="0.25">
      <c r="A28" s="271" t="s">
        <v>168</v>
      </c>
      <c r="B28" s="271"/>
      <c r="C28" s="271"/>
      <c r="D28" s="271"/>
      <c r="E28" s="271"/>
      <c r="F28" s="271"/>
      <c r="G28" s="271"/>
      <c r="H28" s="271"/>
      <c r="I28" s="271"/>
      <c r="J28" s="275"/>
      <c r="K28" s="227"/>
      <c r="L28" s="228">
        <v>1</v>
      </c>
      <c r="M28" s="228"/>
      <c r="N28" s="228">
        <v>7</v>
      </c>
      <c r="O28" s="228"/>
      <c r="P28" s="228" t="str">
        <f t="shared" si="0"/>
        <v/>
      </c>
      <c r="Q28" s="228"/>
      <c r="R28" s="280"/>
      <c r="S28" s="281"/>
      <c r="T28" s="226" t="s">
        <v>219</v>
      </c>
      <c r="U28" s="226"/>
      <c r="V28" s="226"/>
      <c r="W28" s="274"/>
      <c r="X28" s="274"/>
      <c r="Y28" s="274"/>
      <c r="Z28" s="274"/>
      <c r="AA28" s="274"/>
      <c r="AB28" s="274"/>
      <c r="AR28" s="116">
        <f>J28</f>
        <v>0</v>
      </c>
    </row>
    <row r="29" spans="1:44" x14ac:dyDescent="0.25">
      <c r="A29" s="271" t="s">
        <v>169</v>
      </c>
      <c r="B29" s="271"/>
      <c r="C29" s="271"/>
      <c r="D29" s="271"/>
      <c r="E29" s="271"/>
      <c r="F29" s="271"/>
      <c r="G29" s="271"/>
      <c r="H29" s="271"/>
      <c r="I29" s="271"/>
      <c r="J29" s="275"/>
      <c r="K29" s="227"/>
      <c r="L29" s="228">
        <v>1</v>
      </c>
      <c r="M29" s="228"/>
      <c r="N29" s="228">
        <v>14</v>
      </c>
      <c r="O29" s="228"/>
      <c r="P29" s="228" t="str">
        <f t="shared" si="0"/>
        <v/>
      </c>
      <c r="Q29" s="228"/>
      <c r="R29" s="280"/>
      <c r="S29" s="281"/>
      <c r="AR29" s="116">
        <f>J29</f>
        <v>0</v>
      </c>
    </row>
    <row r="30" spans="1:44" x14ac:dyDescent="0.25">
      <c r="A30" s="271" t="s">
        <v>170</v>
      </c>
      <c r="B30" s="271"/>
      <c r="C30" s="271"/>
      <c r="D30" s="271"/>
      <c r="E30" s="271"/>
      <c r="F30" s="271"/>
      <c r="G30" s="271"/>
      <c r="H30" s="271"/>
      <c r="I30" s="271"/>
      <c r="J30" s="275"/>
      <c r="K30" s="227"/>
      <c r="L30" s="228">
        <v>1</v>
      </c>
      <c r="M30" s="228"/>
      <c r="N30" s="228">
        <v>8</v>
      </c>
      <c r="O30" s="228"/>
      <c r="P30" s="228" t="str">
        <f t="shared" si="0"/>
        <v/>
      </c>
      <c r="Q30" s="228"/>
      <c r="R30" s="280"/>
      <c r="S30" s="281"/>
      <c r="AR30" s="116">
        <f>J30</f>
        <v>0</v>
      </c>
    </row>
    <row r="31" spans="1:44" x14ac:dyDescent="0.25">
      <c r="A31" s="271" t="s">
        <v>171</v>
      </c>
      <c r="B31" s="271"/>
      <c r="C31" s="271"/>
      <c r="D31" s="271"/>
      <c r="E31" s="271"/>
      <c r="F31" s="271"/>
      <c r="G31" s="271"/>
      <c r="H31" s="271"/>
      <c r="I31" s="271"/>
      <c r="J31" s="275"/>
      <c r="K31" s="227"/>
      <c r="L31" s="228">
        <v>1</v>
      </c>
      <c r="M31" s="228"/>
      <c r="N31" s="228">
        <v>7</v>
      </c>
      <c r="O31" s="228"/>
      <c r="P31" s="228" t="str">
        <f t="shared" si="0"/>
        <v/>
      </c>
      <c r="Q31" s="228"/>
      <c r="R31" s="280"/>
      <c r="S31" s="281"/>
      <c r="AR31" s="116"/>
    </row>
    <row r="32" spans="1:44" x14ac:dyDescent="0.25">
      <c r="A32" s="271" t="s">
        <v>172</v>
      </c>
      <c r="B32" s="271"/>
      <c r="C32" s="271"/>
      <c r="D32" s="271"/>
      <c r="E32" s="271"/>
      <c r="F32" s="271"/>
      <c r="G32" s="271"/>
      <c r="H32" s="271"/>
      <c r="I32" s="271"/>
      <c r="J32" s="275"/>
      <c r="K32" s="227"/>
      <c r="L32" s="228">
        <v>1</v>
      </c>
      <c r="M32" s="228"/>
      <c r="N32" s="228">
        <v>10</v>
      </c>
      <c r="O32" s="228"/>
      <c r="P32" s="228" t="str">
        <f t="shared" si="0"/>
        <v/>
      </c>
      <c r="Q32" s="228"/>
      <c r="R32" s="280"/>
      <c r="S32" s="281"/>
      <c r="AR32" s="116">
        <f>J32</f>
        <v>0</v>
      </c>
    </row>
    <row r="33" spans="1:44" x14ac:dyDescent="0.25">
      <c r="A33" s="229" t="s">
        <v>52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8">
        <f>SUM(P5:P32)</f>
        <v>0</v>
      </c>
      <c r="Q33" s="228"/>
      <c r="R33" s="265"/>
      <c r="S33" s="265"/>
      <c r="AR33" s="126">
        <f>SUM(AR5:AR32)</f>
        <v>0</v>
      </c>
    </row>
    <row r="34" spans="1:44" x14ac:dyDescent="0.25">
      <c r="A34" s="229" t="s">
        <v>51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78"/>
      <c r="Q34" s="278"/>
      <c r="R34" s="283">
        <f>SUM(R5:R32)</f>
        <v>0</v>
      </c>
      <c r="S34" s="284"/>
    </row>
    <row r="35" spans="1:44" x14ac:dyDescent="0.25">
      <c r="P35" s="149">
        <f>P33-R34</f>
        <v>0</v>
      </c>
      <c r="Q35" s="149"/>
      <c r="R35" s="149"/>
      <c r="S35" s="149"/>
    </row>
  </sheetData>
  <mergeCells count="210">
    <mergeCell ref="AH1:AI1"/>
    <mergeCell ref="W2:Z2"/>
    <mergeCell ref="AA2:AB2"/>
    <mergeCell ref="P2:Q2"/>
    <mergeCell ref="R2:U2"/>
    <mergeCell ref="A1:B1"/>
    <mergeCell ref="C1:G1"/>
    <mergeCell ref="I1:K1"/>
    <mergeCell ref="L1:N1"/>
    <mergeCell ref="P1:S1"/>
    <mergeCell ref="T1:U1"/>
    <mergeCell ref="W1:Z1"/>
    <mergeCell ref="AA1:AB1"/>
    <mergeCell ref="AD1:AG1"/>
    <mergeCell ref="A2:E2"/>
    <mergeCell ref="F2:G2"/>
    <mergeCell ref="I2:L2"/>
    <mergeCell ref="M2:N2"/>
    <mergeCell ref="R29:S29"/>
    <mergeCell ref="R30:S30"/>
    <mergeCell ref="R31:S31"/>
    <mergeCell ref="R32:S32"/>
    <mergeCell ref="R33:S33"/>
    <mergeCell ref="A33:O33"/>
    <mergeCell ref="A34:O34"/>
    <mergeCell ref="R34:S34"/>
    <mergeCell ref="P33:Q33"/>
    <mergeCell ref="A30:I30"/>
    <mergeCell ref="J30:K30"/>
    <mergeCell ref="L30:M30"/>
    <mergeCell ref="N30:O30"/>
    <mergeCell ref="P30:Q30"/>
    <mergeCell ref="A31:I31"/>
    <mergeCell ref="J31:K31"/>
    <mergeCell ref="L31:M31"/>
    <mergeCell ref="N31:O31"/>
    <mergeCell ref="P31:Q31"/>
    <mergeCell ref="A32:I32"/>
    <mergeCell ref="J32:K32"/>
    <mergeCell ref="L32:M32"/>
    <mergeCell ref="N32:O32"/>
    <mergeCell ref="P32:Q32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W5:AB5"/>
    <mergeCell ref="W6:AB6"/>
    <mergeCell ref="T5:V5"/>
    <mergeCell ref="T6:V6"/>
    <mergeCell ref="T22:V22"/>
    <mergeCell ref="W22:AB22"/>
    <mergeCell ref="T14:V14"/>
    <mergeCell ref="W14:AB14"/>
    <mergeCell ref="T28:V28"/>
    <mergeCell ref="W28:AB28"/>
    <mergeCell ref="T11:V11"/>
    <mergeCell ref="W11:AB11"/>
    <mergeCell ref="R4:S4"/>
    <mergeCell ref="R5:S5"/>
    <mergeCell ref="R6:S6"/>
    <mergeCell ref="R7:S7"/>
    <mergeCell ref="R8:S8"/>
    <mergeCell ref="R9:S9"/>
    <mergeCell ref="R10:S10"/>
    <mergeCell ref="A4:I4"/>
    <mergeCell ref="J4:K4"/>
    <mergeCell ref="L4:M4"/>
    <mergeCell ref="N4:O4"/>
    <mergeCell ref="P4:Q4"/>
    <mergeCell ref="A5:I5"/>
    <mergeCell ref="J5:K5"/>
    <mergeCell ref="L5:M5"/>
    <mergeCell ref="N5:O5"/>
    <mergeCell ref="P5:Q5"/>
    <mergeCell ref="A6:I6"/>
    <mergeCell ref="J6:K6"/>
    <mergeCell ref="L6:M6"/>
    <mergeCell ref="N6:O6"/>
    <mergeCell ref="P6:Q6"/>
    <mergeCell ref="A7:I7"/>
    <mergeCell ref="J7:K7"/>
    <mergeCell ref="L7:M7"/>
    <mergeCell ref="N7:O7"/>
    <mergeCell ref="P7:Q7"/>
    <mergeCell ref="A8:I8"/>
    <mergeCell ref="J8:K8"/>
    <mergeCell ref="L8:M8"/>
    <mergeCell ref="N8:O8"/>
    <mergeCell ref="P8:Q8"/>
    <mergeCell ref="A9:I9"/>
    <mergeCell ref="J9:K9"/>
    <mergeCell ref="L9:M9"/>
    <mergeCell ref="N9:O9"/>
    <mergeCell ref="P9:Q9"/>
    <mergeCell ref="A10:I10"/>
    <mergeCell ref="J10:K10"/>
    <mergeCell ref="L10:M10"/>
    <mergeCell ref="N10:O10"/>
    <mergeCell ref="P10:Q10"/>
    <mergeCell ref="A11:I11"/>
    <mergeCell ref="J11:K11"/>
    <mergeCell ref="L11:M11"/>
    <mergeCell ref="N11:O11"/>
    <mergeCell ref="P11:Q11"/>
    <mergeCell ref="A12:I12"/>
    <mergeCell ref="J12:K12"/>
    <mergeCell ref="L12:M12"/>
    <mergeCell ref="N12:O12"/>
    <mergeCell ref="P12:Q12"/>
    <mergeCell ref="A13:I13"/>
    <mergeCell ref="J13:K13"/>
    <mergeCell ref="L13:M13"/>
    <mergeCell ref="N13:O13"/>
    <mergeCell ref="P13:Q13"/>
    <mergeCell ref="A15:I15"/>
    <mergeCell ref="J15:K15"/>
    <mergeCell ref="L15:M15"/>
    <mergeCell ref="N15:O15"/>
    <mergeCell ref="P15:Q15"/>
    <mergeCell ref="A14:I14"/>
    <mergeCell ref="J14:K14"/>
    <mergeCell ref="L14:M14"/>
    <mergeCell ref="N14:O14"/>
    <mergeCell ref="P14:Q14"/>
    <mergeCell ref="A16:I16"/>
    <mergeCell ref="J16:K16"/>
    <mergeCell ref="L16:M16"/>
    <mergeCell ref="N16:O16"/>
    <mergeCell ref="P16:Q16"/>
    <mergeCell ref="A17:I17"/>
    <mergeCell ref="J17:K17"/>
    <mergeCell ref="L17:M17"/>
    <mergeCell ref="N17:O17"/>
    <mergeCell ref="P17:Q17"/>
    <mergeCell ref="A18:I18"/>
    <mergeCell ref="J18:K18"/>
    <mergeCell ref="L18:M18"/>
    <mergeCell ref="N18:O18"/>
    <mergeCell ref="P18:Q18"/>
    <mergeCell ref="A19:I19"/>
    <mergeCell ref="J19:K19"/>
    <mergeCell ref="L19:M19"/>
    <mergeCell ref="N19:O19"/>
    <mergeCell ref="P19:Q19"/>
    <mergeCell ref="A20:I20"/>
    <mergeCell ref="J20:K20"/>
    <mergeCell ref="L20:M20"/>
    <mergeCell ref="N20:O20"/>
    <mergeCell ref="P20:Q20"/>
    <mergeCell ref="A21:I21"/>
    <mergeCell ref="J21:K21"/>
    <mergeCell ref="L21:M21"/>
    <mergeCell ref="N21:O21"/>
    <mergeCell ref="P21:Q21"/>
    <mergeCell ref="A22:I22"/>
    <mergeCell ref="J22:K22"/>
    <mergeCell ref="L22:M22"/>
    <mergeCell ref="N22:O22"/>
    <mergeCell ref="P22:Q22"/>
    <mergeCell ref="A23:I23"/>
    <mergeCell ref="J23:K23"/>
    <mergeCell ref="L23:M23"/>
    <mergeCell ref="N23:O23"/>
    <mergeCell ref="P23:Q23"/>
    <mergeCell ref="A24:I24"/>
    <mergeCell ref="J24:K24"/>
    <mergeCell ref="L24:M24"/>
    <mergeCell ref="N24:O24"/>
    <mergeCell ref="P24:Q24"/>
    <mergeCell ref="A25:I25"/>
    <mergeCell ref="J25:K25"/>
    <mergeCell ref="L25:M25"/>
    <mergeCell ref="N25:O25"/>
    <mergeCell ref="P25:Q25"/>
    <mergeCell ref="A26:I26"/>
    <mergeCell ref="J26:K26"/>
    <mergeCell ref="L26:M26"/>
    <mergeCell ref="N26:O26"/>
    <mergeCell ref="P26:Q26"/>
    <mergeCell ref="A27:I27"/>
    <mergeCell ref="J27:K27"/>
    <mergeCell ref="L27:M27"/>
    <mergeCell ref="N27:O27"/>
    <mergeCell ref="P27:Q27"/>
    <mergeCell ref="P34:Q34"/>
    <mergeCell ref="A28:I28"/>
    <mergeCell ref="J28:K28"/>
    <mergeCell ref="L28:M28"/>
    <mergeCell ref="N28:O28"/>
    <mergeCell ref="P28:Q28"/>
    <mergeCell ref="A29:I29"/>
    <mergeCell ref="J29:K29"/>
    <mergeCell ref="L29:M29"/>
    <mergeCell ref="N29:O29"/>
    <mergeCell ref="P29:Q29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DATA!$M$58:$M$63</xm:f>
          </x14:formula1>
          <xm:sqref>W28:AB28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02"/>
  <sheetViews>
    <sheetView workbookViewId="0">
      <pane ySplit="2" topLeftCell="A3" activePane="bottomLeft" state="frozen"/>
      <selection pane="bottomLeft" activeCell="I6" sqref="I6:J6"/>
    </sheetView>
  </sheetViews>
  <sheetFormatPr defaultColWidth="3.42578125" defaultRowHeight="15" x14ac:dyDescent="0.25"/>
  <cols>
    <col min="1" max="1" width="3.42578125" style="1"/>
    <col min="30" max="30" width="3.42578125" style="121"/>
    <col min="31" max="31" width="3.42578125" customWidth="1"/>
    <col min="32" max="32" width="3.42578125" style="121"/>
    <col min="41" max="43" width="3.42578125" customWidth="1"/>
  </cols>
  <sheetData>
    <row r="1" spans="1:53" s="124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12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12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12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12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129" t="s">
        <v>56</v>
      </c>
    </row>
    <row r="2" spans="1:53" s="124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12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12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12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129" t="s">
        <v>56</v>
      </c>
      <c r="AD2" s="257" t="str">
        <f>IF(AR4-AP4&lt;=0, "", "Skill Points Left:")</f>
        <v/>
      </c>
      <c r="AE2" s="257"/>
      <c r="AF2" s="257"/>
      <c r="AG2" s="257"/>
      <c r="AH2" s="257"/>
      <c r="AI2" s="166" t="str">
        <f>IF(AR4-AP4&gt;0, AR4-AP4, "")</f>
        <v/>
      </c>
      <c r="AJ2" s="129" t="s">
        <v>56</v>
      </c>
    </row>
    <row r="3" spans="1:53" s="81" customFormat="1" x14ac:dyDescent="0.25">
      <c r="A3" s="78"/>
      <c r="B3" s="78"/>
      <c r="C3" s="78"/>
      <c r="D3" s="78"/>
      <c r="E3" s="78"/>
      <c r="F3" s="120"/>
      <c r="G3" s="120"/>
      <c r="H3" s="79"/>
      <c r="I3" s="82"/>
      <c r="J3" s="82"/>
      <c r="K3" s="82"/>
      <c r="L3" s="82"/>
      <c r="M3" s="120"/>
      <c r="N3" s="120"/>
      <c r="O3" s="79"/>
      <c r="P3" s="82"/>
      <c r="Q3" s="82"/>
      <c r="R3" s="118"/>
      <c r="S3" s="118"/>
      <c r="T3" s="118"/>
      <c r="U3" s="79"/>
      <c r="AB3" s="79"/>
      <c r="AD3" s="124"/>
      <c r="AF3" s="124"/>
      <c r="AK3" s="79"/>
    </row>
    <row r="4" spans="1:53" x14ac:dyDescent="0.25">
      <c r="A4" s="297" t="s">
        <v>331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 t="s">
        <v>332</v>
      </c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130"/>
      <c r="AE4" s="263" t="s">
        <v>197</v>
      </c>
      <c r="AF4" s="263"/>
      <c r="AP4" s="122">
        <f>SUM(I7:J9,I11:J13,I15:J17,I19:J21,I23:J25,I27:J29,I31:J33,I35:J37,I39:J41,I43:J45,I47:J50,I52:J54,I56:J58,I60:J62,I64:J66,I68:J75,I77:J78,I80:J85,I87:J89,I91:J93,I95:J100,I102)+AP6</f>
        <v>0</v>
      </c>
      <c r="AQ4" s="122" t="s">
        <v>345</v>
      </c>
      <c r="AR4" s="122">
        <f>'1. Priorities'!H9</f>
        <v>0</v>
      </c>
      <c r="AT4" t="s">
        <v>347</v>
      </c>
    </row>
    <row r="5" spans="1:53" x14ac:dyDescent="0.25">
      <c r="A5" s="135"/>
      <c r="B5" s="136"/>
      <c r="C5" s="136"/>
      <c r="D5" s="136"/>
      <c r="E5" s="136"/>
      <c r="F5" s="136"/>
      <c r="G5" s="137"/>
      <c r="H5" s="124"/>
      <c r="I5" s="302" t="s">
        <v>333</v>
      </c>
      <c r="J5" s="303"/>
      <c r="K5" s="297"/>
      <c r="L5" s="297"/>
      <c r="M5" s="297"/>
      <c r="N5" s="297"/>
      <c r="O5" s="132"/>
      <c r="P5" s="279" t="s">
        <v>333</v>
      </c>
      <c r="Q5" s="279"/>
      <c r="R5" s="297" t="s">
        <v>334</v>
      </c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130"/>
      <c r="AE5" s="263" t="s">
        <v>232</v>
      </c>
      <c r="AF5" s="263"/>
      <c r="AG5" s="126"/>
      <c r="AP5" s="122">
        <f>SUM(I6,I10,I14,I18,I22,I26,I30,I34,I38,I42,I46,I51,I55,I59,I63)</f>
        <v>0</v>
      </c>
      <c r="AQ5" s="122" t="s">
        <v>345</v>
      </c>
      <c r="AR5" s="122">
        <f>'1. Priorities'!I9</f>
        <v>0</v>
      </c>
      <c r="AT5" t="s">
        <v>346</v>
      </c>
    </row>
    <row r="6" spans="1:53" x14ac:dyDescent="0.25">
      <c r="A6" s="285" t="str">
        <f>IF(H6="*", "Acting ("&amp;BA18&amp;")", "Acting")</f>
        <v>Acting</v>
      </c>
      <c r="B6" s="286"/>
      <c r="C6" s="286"/>
      <c r="D6" s="286"/>
      <c r="E6" s="286"/>
      <c r="F6" s="286"/>
      <c r="G6" s="104"/>
      <c r="H6" s="141">
        <f>IF(G6="*", $BA$18, 0)</f>
        <v>0</v>
      </c>
      <c r="I6" s="227"/>
      <c r="J6" s="227"/>
      <c r="K6" s="304"/>
      <c r="L6" s="279"/>
      <c r="M6" s="279"/>
      <c r="N6" s="279"/>
      <c r="O6" s="124"/>
      <c r="P6" s="268"/>
      <c r="Q6" s="268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130"/>
      <c r="AE6" s="228">
        <f>IF(I6+H6, VLOOKUP(0, DATA!$AB$28:$AN$39, P6+I6+H6+1, FALSE), VLOOKUP(I6+H6, DATA!$AB$28:$AN$39, P6+I6+H6+1, FALSE))</f>
        <v>0</v>
      </c>
      <c r="AF6" s="228"/>
      <c r="AG6" s="126"/>
      <c r="AP6" s="122">
        <f>COUNTA(K7:N9,K11:N13,K15:N17,K19:N21,K23:N25,K27:N29,K31:N33,K35:N37,K39:N41,K43:N45,K47:N50,K52:N54,K56:N58,K60:N62,K64:N66,K68:N75,K77:N78,K80:N85,K87:N89,K91:N93,K95:N100,K102)</f>
        <v>0</v>
      </c>
      <c r="AQ6" s="122"/>
      <c r="AR6" s="122"/>
      <c r="AT6" t="s">
        <v>334</v>
      </c>
    </row>
    <row r="7" spans="1:53" x14ac:dyDescent="0.25">
      <c r="A7" s="92"/>
      <c r="B7" s="289" t="s">
        <v>260</v>
      </c>
      <c r="C7" s="290"/>
      <c r="D7" s="290"/>
      <c r="E7" s="290"/>
      <c r="F7" s="290"/>
      <c r="G7" s="290"/>
      <c r="H7" s="142">
        <f>IF(A7="*", $AZ$18, 0)</f>
        <v>0</v>
      </c>
      <c r="I7" s="291"/>
      <c r="J7" s="275"/>
      <c r="K7" s="227"/>
      <c r="L7" s="227"/>
      <c r="M7" s="227"/>
      <c r="N7" s="227"/>
      <c r="O7" s="133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140"/>
      <c r="AE7" s="228">
        <f>IF(I7+H7=0, VLOOKUP(0, DATA!$M$28:$Z$40, P7+I7+H7+1, FALSE), VLOOKUP(I7+H7, DATA!$M$28:$Z$40, P7+I7+H7+1, FALSE))+AG7</f>
        <v>0</v>
      </c>
      <c r="AF7" s="228"/>
      <c r="AG7" s="126">
        <f>COUNTA(R7:AC7)*7</f>
        <v>0</v>
      </c>
    </row>
    <row r="8" spans="1:53" x14ac:dyDescent="0.25">
      <c r="A8" s="92"/>
      <c r="B8" s="287" t="s">
        <v>261</v>
      </c>
      <c r="C8" s="288"/>
      <c r="D8" s="288"/>
      <c r="E8" s="288"/>
      <c r="F8" s="288"/>
      <c r="G8" s="288"/>
      <c r="H8" s="142">
        <f>IF(A8="*", $AZ$18, 0)</f>
        <v>0</v>
      </c>
      <c r="I8" s="291"/>
      <c r="J8" s="275"/>
      <c r="K8" s="227"/>
      <c r="L8" s="227"/>
      <c r="M8" s="227"/>
      <c r="N8" s="227"/>
      <c r="O8" s="133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140"/>
      <c r="AE8" s="228">
        <f>IF(I8+H8=0, VLOOKUP(0, DATA!$M$28:$Z$40, P8+I8+H8+1, FALSE), VLOOKUP(I8+H8, DATA!$M$28:$Z$40, P8+I8+H8+1, FALSE))+AG8</f>
        <v>0</v>
      </c>
      <c r="AF8" s="228"/>
      <c r="AG8" s="126">
        <f t="shared" ref="AG8:AG9" si="0">COUNTA(R8:AC8)*7</f>
        <v>0</v>
      </c>
      <c r="AP8" t="s">
        <v>348</v>
      </c>
    </row>
    <row r="9" spans="1:53" x14ac:dyDescent="0.25">
      <c r="A9" s="92"/>
      <c r="B9" s="287" t="s">
        <v>262</v>
      </c>
      <c r="C9" s="288"/>
      <c r="D9" s="288"/>
      <c r="E9" s="288"/>
      <c r="F9" s="288"/>
      <c r="G9" s="288"/>
      <c r="H9" s="142">
        <f>IF(A9="*", $AZ$18, 0)</f>
        <v>0</v>
      </c>
      <c r="I9" s="291"/>
      <c r="J9" s="275"/>
      <c r="K9" s="227"/>
      <c r="L9" s="227"/>
      <c r="M9" s="227"/>
      <c r="N9" s="227"/>
      <c r="O9" s="133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140"/>
      <c r="AE9" s="228">
        <f>IF(I9+H9=0, VLOOKUP(0, DATA!$M$28:$Z$40, P9+I9+H9+1, FALSE), VLOOKUP(I9+H9, DATA!$M$28:$Z$40, P9+I9+H9+1, FALSE))+AG9</f>
        <v>0</v>
      </c>
      <c r="AF9" s="228"/>
      <c r="AG9" s="126">
        <f t="shared" si="0"/>
        <v>0</v>
      </c>
      <c r="AP9" s="122">
        <f>SUM(AE7:AF9,AE11:AF13,AE15:AF17,AE19:AF21,AE23:AF25,AE27:AF29,AE31:AF33,AE35:AF37,AE39:AF41,AE43:AF45,AE47:AF50,AE52:AF54,AE56:AF58,AE60:AF62,AE64:AF66,AE68:AF75,AE77:AF78,AE80:AF85,AE87:AF89,AE91:AF93,AE95:AF100,AE102)</f>
        <v>0</v>
      </c>
      <c r="AT9" t="s">
        <v>7</v>
      </c>
    </row>
    <row r="10" spans="1:53" x14ac:dyDescent="0.25">
      <c r="A10" s="285" t="s">
        <v>335</v>
      </c>
      <c r="B10" s="286"/>
      <c r="C10" s="286"/>
      <c r="D10" s="286"/>
      <c r="E10" s="286"/>
      <c r="F10" s="286"/>
      <c r="G10" s="104"/>
      <c r="H10" s="141">
        <f>IF(G10="*", $BA$18, 0)</f>
        <v>0</v>
      </c>
      <c r="I10" s="227"/>
      <c r="J10" s="227"/>
      <c r="K10" s="133"/>
      <c r="L10" s="133"/>
      <c r="M10" s="133"/>
      <c r="N10" s="133"/>
      <c r="O10" s="133"/>
      <c r="P10" s="268"/>
      <c r="Q10" s="268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228">
        <f>IF(ISBLANK(I10), VLOOKUP(0, DATA!$AB$28:$AN$39, P10+I10+1, FALSE), VLOOKUP(I10, DATA!$AB$28:$AN$39, P10+I10+1, FALSE))</f>
        <v>0</v>
      </c>
      <c r="AF10" s="228"/>
      <c r="AG10" s="126"/>
      <c r="AP10" s="122">
        <f>SUM(AE6,AE10,AE14,AE18,AE22,AE26,AE30,AE34,AE38,AE42,AE46,AE51,AE55,AE59,AE63)</f>
        <v>0</v>
      </c>
      <c r="AT10" t="s">
        <v>10</v>
      </c>
    </row>
    <row r="11" spans="1:53" x14ac:dyDescent="0.25">
      <c r="A11" s="92"/>
      <c r="B11" s="292" t="s">
        <v>263</v>
      </c>
      <c r="C11" s="293"/>
      <c r="D11" s="293"/>
      <c r="E11" s="293"/>
      <c r="F11" s="293"/>
      <c r="G11" s="293"/>
      <c r="H11" s="142">
        <f>IF(A11="*", $AZ$18, 0)</f>
        <v>0</v>
      </c>
      <c r="I11" s="291"/>
      <c r="J11" s="275"/>
      <c r="K11" s="227"/>
      <c r="L11" s="227"/>
      <c r="M11" s="227"/>
      <c r="N11" s="227"/>
      <c r="O11" s="133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140"/>
      <c r="AE11" s="228">
        <f>IF(I11+H11=0, VLOOKUP(0, DATA!$M$28:$Z$40, P11+I11+H11+1, FALSE), VLOOKUP(I11+H11, DATA!$M$28:$Z$40, P11+I11+H11+1, FALSE))+AG11</f>
        <v>0</v>
      </c>
      <c r="AF11" s="228"/>
      <c r="AG11" s="126">
        <f t="shared" ref="AG11:AG13" si="1">COUNTA(R11:AC11)*7</f>
        <v>0</v>
      </c>
      <c r="AP11" s="122">
        <f>COUNTA(R7:AC9,R11:AC13,R15:AC17,R19:AC21,R23:AC25,R27:AC29,R31:AC33,R35:AC37,R39:AC41,R43:AC45,R47:AC50,R52:AC54,R56:AC58,R60:AC62,R64:AC66,R68:AC75,R77:AC78,R80:AC85,R87:AC89,R91:AC93,R95:AC100,R102:AC102)</f>
        <v>0</v>
      </c>
      <c r="AT11" t="s">
        <v>334</v>
      </c>
    </row>
    <row r="12" spans="1:53" x14ac:dyDescent="0.25">
      <c r="A12" s="92"/>
      <c r="B12" s="292" t="s">
        <v>264</v>
      </c>
      <c r="C12" s="293"/>
      <c r="D12" s="293"/>
      <c r="E12" s="293"/>
      <c r="F12" s="293"/>
      <c r="G12" s="293"/>
      <c r="H12" s="142">
        <f>IF(A12="*", $AZ$18, 0)</f>
        <v>0</v>
      </c>
      <c r="I12" s="291"/>
      <c r="J12" s="275"/>
      <c r="K12" s="227"/>
      <c r="L12" s="227"/>
      <c r="M12" s="227"/>
      <c r="N12" s="227"/>
      <c r="O12" s="133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140"/>
      <c r="AE12" s="228">
        <f>IF(I12+H12=0, VLOOKUP(0, DATA!$M$28:$Z$40, P12+I12+H12+1, FALSE), VLOOKUP(I12+H12, DATA!$M$28:$Z$40, P12+I12+H12+1, FALSE))+AG12</f>
        <v>0</v>
      </c>
      <c r="AF12" s="228"/>
      <c r="AG12" s="126">
        <f t="shared" si="1"/>
        <v>0</v>
      </c>
    </row>
    <row r="13" spans="1:53" x14ac:dyDescent="0.25">
      <c r="A13" s="92"/>
      <c r="B13" s="292" t="s">
        <v>265</v>
      </c>
      <c r="C13" s="293"/>
      <c r="D13" s="293"/>
      <c r="E13" s="293"/>
      <c r="F13" s="293"/>
      <c r="G13" s="293"/>
      <c r="H13" s="142">
        <f>IF(A13="*", $AZ$18, 0)</f>
        <v>0</v>
      </c>
      <c r="I13" s="291"/>
      <c r="J13" s="275"/>
      <c r="K13" s="227"/>
      <c r="L13" s="227"/>
      <c r="M13" s="227"/>
      <c r="N13" s="227"/>
      <c r="O13" s="133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140"/>
      <c r="AE13" s="228">
        <f>IF(I13+H13=0, VLOOKUP(0, DATA!$M$28:$Z$40, P13+I13+H13+1, FALSE), VLOOKUP(I13+H13, DATA!$M$28:$Z$40, P13+I13+H13+1, FALSE))+AG13</f>
        <v>0</v>
      </c>
      <c r="AF13" s="228"/>
      <c r="AG13" s="126">
        <f t="shared" si="1"/>
        <v>0</v>
      </c>
      <c r="AP13" s="122" t="e">
        <f>IF(AR13&gt;0, $AS$18, 0)</f>
        <v>#N/A</v>
      </c>
      <c r="AQ13" s="122" t="s">
        <v>345</v>
      </c>
      <c r="AR13" s="122" t="e">
        <f>IF($AQ$19&gt;1, VLOOKUP($AP$20, DATA!$A$3:$AO$7, $AQ$19+1, FALSE), "x")</f>
        <v>#N/A</v>
      </c>
      <c r="AT13" t="s">
        <v>353</v>
      </c>
      <c r="AZ13" s="125" t="e">
        <f>IF(AR13&gt;0, 5, 0)</f>
        <v>#N/A</v>
      </c>
      <c r="BA13" s="126"/>
    </row>
    <row r="14" spans="1:53" x14ac:dyDescent="0.25">
      <c r="A14" s="285" t="s">
        <v>248</v>
      </c>
      <c r="B14" s="286"/>
      <c r="C14" s="286"/>
      <c r="D14" s="286"/>
      <c r="E14" s="286"/>
      <c r="F14" s="286"/>
      <c r="G14" s="104"/>
      <c r="H14" s="141">
        <f>IF(G14="*", $BA$18, 0)</f>
        <v>0</v>
      </c>
      <c r="I14" s="227"/>
      <c r="J14" s="227"/>
      <c r="K14" s="133"/>
      <c r="L14" s="133"/>
      <c r="M14" s="133"/>
      <c r="N14" s="133"/>
      <c r="O14" s="133"/>
      <c r="P14" s="268"/>
      <c r="Q14" s="268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228">
        <f>IF(ISBLANK(I14), VLOOKUP(0, DATA!$AB$28:$AN$39, P14+I14+1, FALSE), VLOOKUP(I14, DATA!$AB$28:$AN$39, P14+I14+1, FALSE))</f>
        <v>0</v>
      </c>
      <c r="AF14" s="228"/>
      <c r="AG14" s="126"/>
      <c r="AP14" s="122" t="e">
        <f>IF(AR14&gt;0, $AS$18, 0)</f>
        <v>#N/A</v>
      </c>
      <c r="AQ14" s="122" t="s">
        <v>345</v>
      </c>
      <c r="AR14" s="122" t="e">
        <f>IF($AQ$19&gt;1, VLOOKUP($AP$20, DATA!$A$3:$AO$7, $AQ$19+2, FALSE), "x")</f>
        <v>#N/A</v>
      </c>
      <c r="AT14" t="s">
        <v>354</v>
      </c>
      <c r="AZ14" s="125" t="e">
        <f>IF(AR14&gt;0, 4, 0)</f>
        <v>#N/A</v>
      </c>
      <c r="BA14" s="126"/>
    </row>
    <row r="15" spans="1:53" x14ac:dyDescent="0.25">
      <c r="A15" s="92"/>
      <c r="B15" s="292" t="s">
        <v>275</v>
      </c>
      <c r="C15" s="293"/>
      <c r="D15" s="293"/>
      <c r="E15" s="293"/>
      <c r="F15" s="293"/>
      <c r="G15" s="293"/>
      <c r="H15" s="142">
        <f>IF(A15="*", $AZ$18, 0)</f>
        <v>0</v>
      </c>
      <c r="I15" s="291"/>
      <c r="J15" s="275"/>
      <c r="K15" s="227"/>
      <c r="L15" s="227"/>
      <c r="M15" s="227"/>
      <c r="N15" s="227"/>
      <c r="O15" s="133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140"/>
      <c r="AE15" s="228">
        <f>IF(I15+H15=0, VLOOKUP(0, DATA!$M$28:$Z$40, P15+I15+H15+1, FALSE), VLOOKUP(I15+H15, DATA!$M$28:$Z$40, P15+I15+H15+1, FALSE))+AG15</f>
        <v>0</v>
      </c>
      <c r="AF15" s="228"/>
      <c r="AG15" s="126">
        <f t="shared" ref="AG15:AG17" si="2">COUNTA(R15:AC15)*7</f>
        <v>0</v>
      </c>
      <c r="AP15" s="122" t="e">
        <f>IF(AR15&gt;0, $AS$18, 0)</f>
        <v>#N/A</v>
      </c>
      <c r="AQ15" s="122" t="s">
        <v>345</v>
      </c>
      <c r="AR15" s="122" t="e">
        <f>IF($AQ$19&gt;1, VLOOKUP($AP$20, DATA!$A$3:$AO$7, $AQ$19+3, FALSE), "x")</f>
        <v>#N/A</v>
      </c>
      <c r="AT15" t="s">
        <v>355</v>
      </c>
      <c r="AZ15" s="125" t="e">
        <f>IF(AR15&gt;0, 2, 0)</f>
        <v>#N/A</v>
      </c>
      <c r="BA15" s="126"/>
    </row>
    <row r="16" spans="1:53" x14ac:dyDescent="0.25">
      <c r="A16" s="92"/>
      <c r="B16" s="292" t="s">
        <v>267</v>
      </c>
      <c r="C16" s="293"/>
      <c r="D16" s="293"/>
      <c r="E16" s="293"/>
      <c r="F16" s="293"/>
      <c r="G16" s="293"/>
      <c r="H16" s="142">
        <f>IF(A16="*", $AZ$18, 0)</f>
        <v>0</v>
      </c>
      <c r="I16" s="291"/>
      <c r="J16" s="275"/>
      <c r="K16" s="227"/>
      <c r="L16" s="227"/>
      <c r="M16" s="227"/>
      <c r="N16" s="227"/>
      <c r="O16" s="133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140"/>
      <c r="AE16" s="228">
        <f>IF(I16+H16=0, VLOOKUP(0, DATA!$M$28:$Z$40, P16+I16+H16+1, FALSE), VLOOKUP(I16+H16, DATA!$M$28:$Z$40, P16+I16+H16+1, FALSE))+AG16</f>
        <v>0</v>
      </c>
      <c r="AF16" s="228"/>
      <c r="AG16" s="126">
        <f t="shared" si="2"/>
        <v>0</v>
      </c>
      <c r="AP16" s="122" t="e">
        <f>IF(AR16&gt;0, $AT$18, 0)</f>
        <v>#N/A</v>
      </c>
      <c r="AQ16" s="122" t="s">
        <v>345</v>
      </c>
      <c r="AR16" s="122" t="e">
        <f>IF($AQ$19&gt;1, VLOOKUP($AP$20, DATA!$A$3:$AO$7, $AQ$19+4, FALSE), "x")</f>
        <v>#N/A</v>
      </c>
      <c r="AT16" t="s">
        <v>352</v>
      </c>
      <c r="AZ16" s="126"/>
      <c r="BA16" s="125" t="e">
        <f>IF(AR16&gt;0, 4, 0)</f>
        <v>#N/A</v>
      </c>
    </row>
    <row r="17" spans="1:53" x14ac:dyDescent="0.25">
      <c r="A17" s="92"/>
      <c r="B17" s="292" t="s">
        <v>268</v>
      </c>
      <c r="C17" s="293"/>
      <c r="D17" s="293"/>
      <c r="E17" s="293"/>
      <c r="F17" s="293"/>
      <c r="G17" s="293"/>
      <c r="H17" s="142">
        <f>IF(A17="*", $AZ$18, 0)</f>
        <v>0</v>
      </c>
      <c r="I17" s="291"/>
      <c r="J17" s="275"/>
      <c r="K17" s="227"/>
      <c r="L17" s="227"/>
      <c r="M17" s="227"/>
      <c r="N17" s="227"/>
      <c r="O17" s="133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140"/>
      <c r="AE17" s="228">
        <f>IF(I17+H17=0, VLOOKUP(0, DATA!$M$28:$Z$40, P17+I17+H17+1, FALSE), VLOOKUP(I17+H17, DATA!$M$28:$Z$40, P17+I17+H17+1, FALSE))+AG17</f>
        <v>0</v>
      </c>
      <c r="AF17" s="228"/>
      <c r="AG17" s="126">
        <f t="shared" si="2"/>
        <v>0</v>
      </c>
      <c r="AP17" s="122" t="e">
        <f>IF(AR17&gt;0, $AT$18, 0)</f>
        <v>#N/A</v>
      </c>
      <c r="AQ17" s="122" t="s">
        <v>345</v>
      </c>
      <c r="AR17" s="122" t="e">
        <f>IF($AQ$19&gt;1, VLOOKUP($AP$20, DATA!$A$3:$AO$7, $AQ$19+5, FALSE), "x")</f>
        <v>#N/A</v>
      </c>
      <c r="AT17" t="s">
        <v>351</v>
      </c>
      <c r="AZ17" s="126"/>
      <c r="BA17" s="125" t="e">
        <f>IF(AR17&gt;0, 2, 0)</f>
        <v>#N/A</v>
      </c>
    </row>
    <row r="18" spans="1:53" x14ac:dyDescent="0.25">
      <c r="A18" s="285" t="s">
        <v>249</v>
      </c>
      <c r="B18" s="286"/>
      <c r="C18" s="286"/>
      <c r="D18" s="286"/>
      <c r="E18" s="286"/>
      <c r="F18" s="286"/>
      <c r="G18" s="104"/>
      <c r="H18" s="141">
        <f>IF(G18="*", $BA$18, 0)</f>
        <v>0</v>
      </c>
      <c r="I18" s="227"/>
      <c r="J18" s="227"/>
      <c r="K18" s="133"/>
      <c r="L18" s="133"/>
      <c r="M18" s="133"/>
      <c r="N18" s="133"/>
      <c r="O18" s="133"/>
      <c r="P18" s="268"/>
      <c r="Q18" s="268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228">
        <f>IF(ISBLANK(I18), VLOOKUP(0, DATA!$AB$28:$AN$39, P18+I18+1, FALSE), VLOOKUP(I18, DATA!$AB$28:$AN$39, P18+I18+1, FALSE))</f>
        <v>0</v>
      </c>
      <c r="AF18" s="228"/>
      <c r="AG18" s="126"/>
      <c r="AQ18" s="128"/>
      <c r="AR18" s="125" t="e">
        <f>SUM(AR13:AR17)</f>
        <v>#N/A</v>
      </c>
      <c r="AS18" s="125">
        <f>COUNTA(A7:A9,A11:A13,A15:A17,A19:A21,A23:A25,A27:A29,A31:A33,A35:A37,A39:A41,A43:A45,A47:A50,A52:A54,A56:A58,A60:A62,A64:A66,A68:A75,A77:A78,A80:A85,A87:A89,A91:A93,A95:A100,A102)</f>
        <v>0</v>
      </c>
      <c r="AT18" s="125">
        <f>COUNTA(G6,G10,G14,G18,G22,G26,G30,G34,G38,G42,G46,G51,G55,G59,G63)</f>
        <v>0</v>
      </c>
      <c r="AU18" s="126"/>
      <c r="AV18" s="126"/>
      <c r="AW18" s="126"/>
      <c r="AX18" s="126"/>
      <c r="AY18" s="126"/>
      <c r="AZ18" s="125" t="e">
        <f>SUM(AZ13:AZ15)</f>
        <v>#N/A</v>
      </c>
      <c r="BA18" s="125" t="e">
        <f>SUM(BA16:BA17)</f>
        <v>#N/A</v>
      </c>
    </row>
    <row r="19" spans="1:53" x14ac:dyDescent="0.25">
      <c r="A19" s="92"/>
      <c r="B19" s="287" t="s">
        <v>269</v>
      </c>
      <c r="C19" s="288"/>
      <c r="D19" s="288"/>
      <c r="E19" s="288"/>
      <c r="F19" s="288"/>
      <c r="G19" s="288"/>
      <c r="H19" s="142">
        <f>IF(A19="*", $AZ$18, 0)</f>
        <v>0</v>
      </c>
      <c r="I19" s="291"/>
      <c r="J19" s="275"/>
      <c r="K19" s="227"/>
      <c r="L19" s="227"/>
      <c r="M19" s="227"/>
      <c r="N19" s="227"/>
      <c r="O19" s="133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140"/>
      <c r="AE19" s="228">
        <f>IF(I19+H19=0, VLOOKUP(0, DATA!$M$28:$Z$40, P19+I19+H19+1, FALSE), VLOOKUP(I19+H19, DATA!$M$28:$Z$40, P19+I19+H19+1, FALSE))+AG19</f>
        <v>0</v>
      </c>
      <c r="AF19" s="228"/>
      <c r="AG19" s="126">
        <f t="shared" ref="AG19:AG21" si="3">COUNTA(R19:AC19)*7</f>
        <v>0</v>
      </c>
      <c r="AP19" s="125" t="e">
        <f>VLOOKUP("Skills", '1. Priorities'!$B$4:$P$8, 15, FALSE)</f>
        <v>#N/A</v>
      </c>
      <c r="AQ19" s="125" t="e">
        <f>VLOOKUP('1. Priorities'!U4, DATA!Y12:Z16, 2, FALSE)</f>
        <v>#N/A</v>
      </c>
      <c r="AR19" s="126"/>
      <c r="AS19" s="126"/>
      <c r="AT19" s="126" t="s">
        <v>349</v>
      </c>
    </row>
    <row r="20" spans="1:53" x14ac:dyDescent="0.25">
      <c r="A20" s="92"/>
      <c r="B20" s="287" t="s">
        <v>270</v>
      </c>
      <c r="C20" s="288"/>
      <c r="D20" s="288"/>
      <c r="E20" s="288"/>
      <c r="F20" s="288"/>
      <c r="G20" s="288"/>
      <c r="H20" s="142">
        <f>IF(A20="*", $AZ$18, 0)</f>
        <v>0</v>
      </c>
      <c r="I20" s="291"/>
      <c r="J20" s="275"/>
      <c r="K20" s="227"/>
      <c r="L20" s="227"/>
      <c r="M20" s="227"/>
      <c r="N20" s="227"/>
      <c r="O20" s="133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140"/>
      <c r="AE20" s="228">
        <f>IF(I20+H20=0, VLOOKUP(0, DATA!$M$28:$Z$40, P20+I20+H20+1, FALSE), VLOOKUP(I20+H20, DATA!$M$28:$Z$40, P20+I20+H20+1, FALSE))+AG20</f>
        <v>0</v>
      </c>
      <c r="AF20" s="228"/>
      <c r="AG20" s="126">
        <f t="shared" si="3"/>
        <v>0</v>
      </c>
      <c r="AP20" s="125" t="e">
        <f>VLOOKUP("Magic", '1. Priorities'!$B$4:$P$8, 15, FALSE)</f>
        <v>#N/A</v>
      </c>
      <c r="AQ20" s="126"/>
      <c r="AR20" s="126"/>
      <c r="AS20" s="126"/>
      <c r="AT20" s="126" t="s">
        <v>350</v>
      </c>
    </row>
    <row r="21" spans="1:53" x14ac:dyDescent="0.25">
      <c r="A21" s="92"/>
      <c r="B21" s="287" t="s">
        <v>271</v>
      </c>
      <c r="C21" s="288"/>
      <c r="D21" s="288"/>
      <c r="E21" s="288"/>
      <c r="F21" s="288"/>
      <c r="G21" s="288"/>
      <c r="H21" s="142">
        <f>IF(A21="*", $AZ$18, 0)</f>
        <v>0</v>
      </c>
      <c r="I21" s="291"/>
      <c r="J21" s="275"/>
      <c r="K21" s="227"/>
      <c r="L21" s="227"/>
      <c r="M21" s="227"/>
      <c r="N21" s="227"/>
      <c r="O21" s="133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140"/>
      <c r="AE21" s="228">
        <f>IF(I21+H21=0, VLOOKUP(0, DATA!$M$28:$Z$40, P21+I21+H21+1, FALSE), VLOOKUP(I21+H21, DATA!$M$28:$Z$40, P21+I21+H21+1, FALSE))+AG21</f>
        <v>0</v>
      </c>
      <c r="AF21" s="228"/>
      <c r="AG21" s="126">
        <f t="shared" si="3"/>
        <v>0</v>
      </c>
    </row>
    <row r="22" spans="1:53" x14ac:dyDescent="0.25">
      <c r="A22" s="285" t="s">
        <v>250</v>
      </c>
      <c r="B22" s="286"/>
      <c r="C22" s="286"/>
      <c r="D22" s="286"/>
      <c r="E22" s="286"/>
      <c r="F22" s="286"/>
      <c r="G22" s="104"/>
      <c r="H22" s="141">
        <f>IF(G22="*", $BA$18, 0)</f>
        <v>0</v>
      </c>
      <c r="I22" s="227"/>
      <c r="J22" s="227"/>
      <c r="K22" s="133"/>
      <c r="L22" s="133"/>
      <c r="M22" s="133"/>
      <c r="N22" s="133"/>
      <c r="O22" s="133"/>
      <c r="P22" s="268"/>
      <c r="Q22" s="268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228">
        <f>IF(ISBLANK(I22), VLOOKUP(0, DATA!$AB$28:$AN$39, P22+I22+1, FALSE), VLOOKUP(I22, DATA!$AB$28:$AN$39, P22+I22+1, FALSE))</f>
        <v>0</v>
      </c>
      <c r="AF22" s="228"/>
      <c r="AG22" s="126"/>
    </row>
    <row r="23" spans="1:53" x14ac:dyDescent="0.25">
      <c r="A23" s="92"/>
      <c r="B23" s="287" t="s">
        <v>272</v>
      </c>
      <c r="C23" s="288"/>
      <c r="D23" s="288"/>
      <c r="E23" s="288"/>
      <c r="F23" s="288"/>
      <c r="G23" s="288"/>
      <c r="H23" s="142">
        <f>IF(A23="*", $AZ$18, 0)</f>
        <v>0</v>
      </c>
      <c r="I23" s="291"/>
      <c r="J23" s="275"/>
      <c r="K23" s="227"/>
      <c r="L23" s="227"/>
      <c r="M23" s="227"/>
      <c r="N23" s="227"/>
      <c r="O23" s="133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140"/>
      <c r="AE23" s="228">
        <f>IF(I23+H23=0, VLOOKUP(0, DATA!$M$28:$Z$40, P23+I23+H23+1, FALSE), VLOOKUP(I23+H23, DATA!$M$28:$Z$40, P23+I23+H23+1, FALSE))+AG23</f>
        <v>0</v>
      </c>
      <c r="AF23" s="228"/>
      <c r="AG23" s="126">
        <f t="shared" ref="AG23:AG25" si="4">COUNTA(R23:AC23)*7</f>
        <v>0</v>
      </c>
    </row>
    <row r="24" spans="1:53" x14ac:dyDescent="0.25">
      <c r="A24" s="92"/>
      <c r="B24" s="287" t="s">
        <v>273</v>
      </c>
      <c r="C24" s="288"/>
      <c r="D24" s="288"/>
      <c r="E24" s="288"/>
      <c r="F24" s="288"/>
      <c r="G24" s="288"/>
      <c r="H24" s="142">
        <f>IF(A24="*", $AZ$18, 0)</f>
        <v>0</v>
      </c>
      <c r="I24" s="291"/>
      <c r="J24" s="275"/>
      <c r="K24" s="227"/>
      <c r="L24" s="227"/>
      <c r="M24" s="227"/>
      <c r="N24" s="227"/>
      <c r="O24" s="133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140"/>
      <c r="AE24" s="228">
        <f>IF(I24+H24=0, VLOOKUP(0, DATA!$M$28:$Z$40, P24+I24+H24+1, FALSE), VLOOKUP(I24+H24, DATA!$M$28:$Z$40, P24+I24+H24+1, FALSE))+AG24</f>
        <v>0</v>
      </c>
      <c r="AF24" s="228"/>
      <c r="AG24" s="126">
        <f t="shared" si="4"/>
        <v>0</v>
      </c>
    </row>
    <row r="25" spans="1:53" x14ac:dyDescent="0.25">
      <c r="A25" s="92"/>
      <c r="B25" s="287" t="s">
        <v>274</v>
      </c>
      <c r="C25" s="288"/>
      <c r="D25" s="288"/>
      <c r="E25" s="288"/>
      <c r="F25" s="288"/>
      <c r="G25" s="288"/>
      <c r="H25" s="142">
        <f>IF(A25="*", $AZ$18, 0)</f>
        <v>0</v>
      </c>
      <c r="I25" s="291"/>
      <c r="J25" s="275"/>
      <c r="K25" s="227"/>
      <c r="L25" s="227"/>
      <c r="M25" s="227"/>
      <c r="N25" s="227"/>
      <c r="O25" s="133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140"/>
      <c r="AE25" s="228">
        <f>IF(I25+H25=0, VLOOKUP(0, DATA!$M$28:$Z$40, P25+I25+H25+1, FALSE), VLOOKUP(I25+H25, DATA!$M$28:$Z$40, P25+I25+H25+1, FALSE))+AG25</f>
        <v>0</v>
      </c>
      <c r="AF25" s="228"/>
      <c r="AG25" s="126">
        <f t="shared" si="4"/>
        <v>0</v>
      </c>
    </row>
    <row r="26" spans="1:53" x14ac:dyDescent="0.25">
      <c r="A26" s="285" t="s">
        <v>251</v>
      </c>
      <c r="B26" s="286"/>
      <c r="C26" s="286"/>
      <c r="D26" s="286"/>
      <c r="E26" s="286"/>
      <c r="F26" s="286"/>
      <c r="G26" s="104"/>
      <c r="H26" s="141">
        <f>IF(G26="*", $BA$18, 0)</f>
        <v>0</v>
      </c>
      <c r="I26" s="227"/>
      <c r="J26" s="227"/>
      <c r="K26" s="133"/>
      <c r="L26" s="133"/>
      <c r="M26" s="133"/>
      <c r="N26" s="133"/>
      <c r="O26" s="133"/>
      <c r="P26" s="268"/>
      <c r="Q26" s="268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228">
        <f>IF(ISBLANK(I26), VLOOKUP(0, DATA!$AB$28:$AN$39, P26+I26+1, FALSE), VLOOKUP(I26, DATA!$AB$28:$AN$39, P26+I26+1, FALSE))</f>
        <v>0</v>
      </c>
      <c r="AF26" s="228"/>
      <c r="AG26" s="126"/>
    </row>
    <row r="27" spans="1:53" x14ac:dyDescent="0.25">
      <c r="A27" s="92"/>
      <c r="B27" s="287" t="s">
        <v>266</v>
      </c>
      <c r="C27" s="288"/>
      <c r="D27" s="288"/>
      <c r="E27" s="288"/>
      <c r="F27" s="288"/>
      <c r="G27" s="288"/>
      <c r="H27" s="142">
        <f>IF(A27="*", $AZ$18, 0)</f>
        <v>0</v>
      </c>
      <c r="I27" s="291"/>
      <c r="J27" s="275"/>
      <c r="K27" s="227"/>
      <c r="L27" s="227"/>
      <c r="M27" s="227"/>
      <c r="N27" s="227"/>
      <c r="O27" s="133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140"/>
      <c r="AE27" s="228">
        <f>IF(I27+H27=0, VLOOKUP(0, DATA!$M$28:$Z$40, P27+I27+H27+1, FALSE), VLOOKUP(I27+H27, DATA!$M$28:$Z$40, P27+I27+H27+1, FALSE))+AG27</f>
        <v>0</v>
      </c>
      <c r="AF27" s="228"/>
      <c r="AG27" s="126">
        <f>COUNTA(R27:AC27)*7</f>
        <v>0</v>
      </c>
    </row>
    <row r="28" spans="1:53" x14ac:dyDescent="0.25">
      <c r="A28" s="92"/>
      <c r="B28" s="287" t="s">
        <v>276</v>
      </c>
      <c r="C28" s="288"/>
      <c r="D28" s="288"/>
      <c r="E28" s="288"/>
      <c r="F28" s="288"/>
      <c r="G28" s="288"/>
      <c r="H28" s="142">
        <f>IF(A28="*", $AZ$18, 0)</f>
        <v>0</v>
      </c>
      <c r="I28" s="291"/>
      <c r="J28" s="275"/>
      <c r="K28" s="227"/>
      <c r="L28" s="227"/>
      <c r="M28" s="227"/>
      <c r="N28" s="227"/>
      <c r="O28" s="133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140"/>
      <c r="AE28" s="228">
        <f>IF(I28+H28=0, VLOOKUP(0, DATA!$M$28:$Z$40, P28+I28+H28+1, FALSE), VLOOKUP(I28+H28, DATA!$M$28:$Z$40, P28+I28+H28+1, FALSE))+AG28</f>
        <v>0</v>
      </c>
      <c r="AF28" s="228"/>
      <c r="AG28" s="126">
        <f>COUNTA(R28:AC28)*7</f>
        <v>0</v>
      </c>
    </row>
    <row r="29" spans="1:53" x14ac:dyDescent="0.25">
      <c r="A29" s="92"/>
      <c r="B29" s="287" t="s">
        <v>277</v>
      </c>
      <c r="C29" s="288"/>
      <c r="D29" s="288"/>
      <c r="E29" s="288"/>
      <c r="F29" s="288"/>
      <c r="G29" s="288"/>
      <c r="H29" s="142">
        <f>IF(A29="*", $AZ$18, 0)</f>
        <v>0</v>
      </c>
      <c r="I29" s="291"/>
      <c r="J29" s="275"/>
      <c r="K29" s="227"/>
      <c r="L29" s="227"/>
      <c r="M29" s="227"/>
      <c r="N29" s="227"/>
      <c r="O29" s="133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140"/>
      <c r="AE29" s="228">
        <f>IF(I29+H29=0, VLOOKUP(0, DATA!$M$28:$Z$40, P29+I29+H29+1, FALSE), VLOOKUP(I29+H29, DATA!$M$28:$Z$40, P29+I29+H29+1, FALSE))+AG29</f>
        <v>0</v>
      </c>
      <c r="AF29" s="228"/>
      <c r="AG29" s="126">
        <f>COUNTA(R29:AC29)*7</f>
        <v>0</v>
      </c>
    </row>
    <row r="30" spans="1:53" x14ac:dyDescent="0.25">
      <c r="A30" s="285" t="s">
        <v>252</v>
      </c>
      <c r="B30" s="286"/>
      <c r="C30" s="286"/>
      <c r="D30" s="286"/>
      <c r="E30" s="286"/>
      <c r="F30" s="286"/>
      <c r="G30" s="104"/>
      <c r="H30" s="141">
        <f>IF(G30="*", $BA$18, 0)</f>
        <v>0</v>
      </c>
      <c r="I30" s="227"/>
      <c r="J30" s="227"/>
      <c r="K30" s="133"/>
      <c r="L30" s="133"/>
      <c r="M30" s="133"/>
      <c r="N30" s="133"/>
      <c r="O30" s="133"/>
      <c r="P30" s="268"/>
      <c r="Q30" s="268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228">
        <f>IF(ISBLANK(I30), VLOOKUP(0, DATA!$AB$28:$AN$39, P30+I30+1, FALSE), VLOOKUP(I30, DATA!$AB$28:$AN$39, P30+I30+1, FALSE))</f>
        <v>0</v>
      </c>
      <c r="AF30" s="228"/>
      <c r="AG30" s="126"/>
    </row>
    <row r="31" spans="1:53" x14ac:dyDescent="0.25">
      <c r="A31" s="92"/>
      <c r="B31" s="287" t="s">
        <v>278</v>
      </c>
      <c r="C31" s="288"/>
      <c r="D31" s="288"/>
      <c r="E31" s="288"/>
      <c r="F31" s="288"/>
      <c r="G31" s="288"/>
      <c r="H31" s="142">
        <f>IF(A31="*", $AZ$18, 0)</f>
        <v>0</v>
      </c>
      <c r="I31" s="291"/>
      <c r="J31" s="275"/>
      <c r="K31" s="227"/>
      <c r="L31" s="227"/>
      <c r="M31" s="227"/>
      <c r="N31" s="227"/>
      <c r="O31" s="133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140"/>
      <c r="AE31" s="228">
        <f>IF(I31+H31=0, VLOOKUP(0, DATA!$M$28:$Z$40, P31+I31+H31+1, FALSE), VLOOKUP(I31+H31, DATA!$M$28:$Z$40, P31+I31+H31+1, FALSE))+AG31</f>
        <v>0</v>
      </c>
      <c r="AF31" s="228"/>
      <c r="AG31" s="126">
        <f>COUNTA(R31:AC31)*7</f>
        <v>0</v>
      </c>
    </row>
    <row r="32" spans="1:53" x14ac:dyDescent="0.25">
      <c r="A32" s="92"/>
      <c r="B32" s="287" t="s">
        <v>279</v>
      </c>
      <c r="C32" s="288"/>
      <c r="D32" s="288"/>
      <c r="E32" s="288"/>
      <c r="F32" s="288"/>
      <c r="G32" s="288"/>
      <c r="H32" s="142">
        <f>IF(A32="*", $AZ$18, 0)</f>
        <v>0</v>
      </c>
      <c r="I32" s="291"/>
      <c r="J32" s="275"/>
      <c r="K32" s="227"/>
      <c r="L32" s="227"/>
      <c r="M32" s="227"/>
      <c r="N32" s="227"/>
      <c r="O32" s="133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140"/>
      <c r="AE32" s="228">
        <f>IF(I32+H32=0, VLOOKUP(0, DATA!$M$28:$Z$40, P32+I32+H32+1, FALSE), VLOOKUP(I32+H32, DATA!$M$28:$Z$40, P32+I32+H32+1, FALSE))+AG32</f>
        <v>0</v>
      </c>
      <c r="AF32" s="228"/>
      <c r="AG32" s="126">
        <f>COUNTA(R32:AC32)*7</f>
        <v>0</v>
      </c>
    </row>
    <row r="33" spans="1:33" x14ac:dyDescent="0.25">
      <c r="A33" s="92"/>
      <c r="B33" s="287" t="s">
        <v>280</v>
      </c>
      <c r="C33" s="288"/>
      <c r="D33" s="288"/>
      <c r="E33" s="288"/>
      <c r="F33" s="288"/>
      <c r="G33" s="288"/>
      <c r="H33" s="142">
        <f>IF(A33="*", $AZ$18, 0)</f>
        <v>0</v>
      </c>
      <c r="I33" s="291"/>
      <c r="J33" s="275"/>
      <c r="K33" s="227"/>
      <c r="L33" s="227"/>
      <c r="M33" s="227"/>
      <c r="N33" s="227"/>
      <c r="O33" s="133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140"/>
      <c r="AE33" s="228">
        <f>IF(I33+H33=0, VLOOKUP(0, DATA!$M$28:$Z$40, P33+I33+H33+1, FALSE), VLOOKUP(I33+H33, DATA!$M$28:$Z$40, P33+I33+H33+1, FALSE))+AG33</f>
        <v>0</v>
      </c>
      <c r="AF33" s="228"/>
      <c r="AG33" s="126">
        <f>COUNTA(R33:AC33)*7</f>
        <v>0</v>
      </c>
    </row>
    <row r="34" spans="1:33" x14ac:dyDescent="0.25">
      <c r="A34" s="285" t="s">
        <v>111</v>
      </c>
      <c r="B34" s="286"/>
      <c r="C34" s="286"/>
      <c r="D34" s="286"/>
      <c r="E34" s="286"/>
      <c r="F34" s="286"/>
      <c r="G34" s="104"/>
      <c r="H34" s="141">
        <f>IF(G34="*", $BA$18, 0)</f>
        <v>0</v>
      </c>
      <c r="I34" s="227"/>
      <c r="J34" s="227"/>
      <c r="K34" s="133"/>
      <c r="L34" s="133"/>
      <c r="M34" s="133"/>
      <c r="N34" s="133"/>
      <c r="O34" s="133"/>
      <c r="P34" s="268"/>
      <c r="Q34" s="268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228">
        <f>IF(ISBLANK(I34), VLOOKUP(0, DATA!$AB$28:$AN$39, P34+I34+1, FALSE), VLOOKUP(I34, DATA!$AB$28:$AN$39, P34+I34+1, FALSE))</f>
        <v>0</v>
      </c>
      <c r="AF34" s="228"/>
      <c r="AG34" s="126"/>
    </row>
    <row r="35" spans="1:33" x14ac:dyDescent="0.25">
      <c r="A35" s="92"/>
      <c r="B35" s="287" t="s">
        <v>281</v>
      </c>
      <c r="C35" s="288"/>
      <c r="D35" s="288"/>
      <c r="E35" s="288"/>
      <c r="F35" s="288"/>
      <c r="G35" s="288"/>
      <c r="H35" s="142">
        <f>IF(A35="*", $AZ$18, 0)</f>
        <v>0</v>
      </c>
      <c r="I35" s="291"/>
      <c r="J35" s="275"/>
      <c r="K35" s="227"/>
      <c r="L35" s="227"/>
      <c r="M35" s="227"/>
      <c r="N35" s="227"/>
      <c r="O35" s="133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140"/>
      <c r="AE35" s="228">
        <f>IF(I35+H35=0, VLOOKUP(0, DATA!$M$28:$Z$40, P35+I35+H35+1, FALSE), VLOOKUP(I35+H35, DATA!$M$28:$Z$40, P35+I35+H35+1, FALSE))+AG35</f>
        <v>0</v>
      </c>
      <c r="AF35" s="228"/>
      <c r="AG35" s="126">
        <f>COUNTA(R35:AC35)*7</f>
        <v>0</v>
      </c>
    </row>
    <row r="36" spans="1:33" x14ac:dyDescent="0.25">
      <c r="A36" s="92"/>
      <c r="B36" s="287" t="s">
        <v>282</v>
      </c>
      <c r="C36" s="288"/>
      <c r="D36" s="288"/>
      <c r="E36" s="288"/>
      <c r="F36" s="288"/>
      <c r="G36" s="288"/>
      <c r="H36" s="142">
        <f>IF(A36="*", $AZ$18, 0)</f>
        <v>0</v>
      </c>
      <c r="I36" s="291"/>
      <c r="J36" s="275"/>
      <c r="K36" s="227"/>
      <c r="L36" s="227"/>
      <c r="M36" s="227"/>
      <c r="N36" s="227"/>
      <c r="O36" s="133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140"/>
      <c r="AE36" s="228">
        <f>IF(I36+H36=0, VLOOKUP(0, DATA!$M$28:$Z$40, P36+I36+H36+1, FALSE), VLOOKUP(I36+H36, DATA!$M$28:$Z$40, P36+I36+H36+1, FALSE))+AG36</f>
        <v>0</v>
      </c>
      <c r="AF36" s="228"/>
      <c r="AG36" s="126">
        <f>COUNTA(R36:AC36)*7</f>
        <v>0</v>
      </c>
    </row>
    <row r="37" spans="1:33" x14ac:dyDescent="0.25">
      <c r="A37" s="92"/>
      <c r="B37" s="287" t="s">
        <v>283</v>
      </c>
      <c r="C37" s="288"/>
      <c r="D37" s="288"/>
      <c r="E37" s="288"/>
      <c r="F37" s="288"/>
      <c r="G37" s="288"/>
      <c r="H37" s="142">
        <f>IF(A37="*", $AZ$18, 0)</f>
        <v>0</v>
      </c>
      <c r="I37" s="291"/>
      <c r="J37" s="275"/>
      <c r="K37" s="227"/>
      <c r="L37" s="227"/>
      <c r="M37" s="227"/>
      <c r="N37" s="227"/>
      <c r="O37" s="133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140"/>
      <c r="AE37" s="228">
        <f>IF(I37+H37=0, VLOOKUP(0, DATA!$M$28:$Z$40, P37+I37+H37+1, FALSE), VLOOKUP(I37+H37, DATA!$M$28:$Z$40, P37+I37+H37+1, FALSE))+AG37</f>
        <v>0</v>
      </c>
      <c r="AF37" s="228"/>
      <c r="AG37" s="126">
        <f>COUNTA(R37:AC37)*7</f>
        <v>0</v>
      </c>
    </row>
    <row r="38" spans="1:33" x14ac:dyDescent="0.25">
      <c r="A38" s="285" t="s">
        <v>253</v>
      </c>
      <c r="B38" s="286"/>
      <c r="C38" s="286"/>
      <c r="D38" s="286"/>
      <c r="E38" s="286"/>
      <c r="F38" s="286"/>
      <c r="G38" s="104"/>
      <c r="H38" s="141">
        <f>IF(G38="*", $BA$18, 0)</f>
        <v>0</v>
      </c>
      <c r="I38" s="227"/>
      <c r="J38" s="227"/>
      <c r="K38" s="133"/>
      <c r="L38" s="133"/>
      <c r="M38" s="133"/>
      <c r="N38" s="133"/>
      <c r="O38" s="133"/>
      <c r="P38" s="268"/>
      <c r="Q38" s="268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228">
        <f>IF(ISBLANK(I38), VLOOKUP(0, DATA!$AB$28:$AN$39, P38+I38+1, FALSE), VLOOKUP(I38, DATA!$AB$28:$AN$39, P38+I38+1, FALSE))</f>
        <v>0</v>
      </c>
      <c r="AF38" s="228"/>
      <c r="AG38" s="126"/>
    </row>
    <row r="39" spans="1:33" x14ac:dyDescent="0.25">
      <c r="A39" s="92"/>
      <c r="B39" s="287" t="s">
        <v>284</v>
      </c>
      <c r="C39" s="288"/>
      <c r="D39" s="288"/>
      <c r="E39" s="288"/>
      <c r="F39" s="288"/>
      <c r="G39" s="288"/>
      <c r="H39" s="142">
        <f>IF(A39="*", $AZ$18, 0)</f>
        <v>0</v>
      </c>
      <c r="I39" s="291"/>
      <c r="J39" s="275"/>
      <c r="K39" s="227"/>
      <c r="L39" s="227"/>
      <c r="M39" s="227"/>
      <c r="N39" s="227"/>
      <c r="O39" s="133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140"/>
      <c r="AE39" s="228">
        <f>IF(I39+H39=0, VLOOKUP(0, DATA!$M$28:$Z$40, P39+I39+H39+1, FALSE), VLOOKUP(I39+H39, DATA!$M$28:$Z$40, P39+I39+H39+1, FALSE))+AG39</f>
        <v>0</v>
      </c>
      <c r="AF39" s="228"/>
      <c r="AG39" s="126">
        <f>COUNTA(R39:AC39)*7</f>
        <v>0</v>
      </c>
    </row>
    <row r="40" spans="1:33" x14ac:dyDescent="0.25">
      <c r="A40" s="92"/>
      <c r="B40" s="287" t="s">
        <v>285</v>
      </c>
      <c r="C40" s="288"/>
      <c r="D40" s="288"/>
      <c r="E40" s="288"/>
      <c r="F40" s="288"/>
      <c r="G40" s="288"/>
      <c r="H40" s="142">
        <f>IF(A40="*", $AZ$18, 0)</f>
        <v>0</v>
      </c>
      <c r="I40" s="291"/>
      <c r="J40" s="275"/>
      <c r="K40" s="227"/>
      <c r="L40" s="227"/>
      <c r="M40" s="227"/>
      <c r="N40" s="227"/>
      <c r="O40" s="133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140"/>
      <c r="AE40" s="228">
        <f>IF(I40+H40=0, VLOOKUP(0, DATA!$M$28:$Z$40, P40+I40+H40+1, FALSE), VLOOKUP(I40+H40, DATA!$M$28:$Z$40, P40+I40+H40+1, FALSE))+AG40</f>
        <v>0</v>
      </c>
      <c r="AF40" s="228"/>
      <c r="AG40" s="126">
        <f>COUNTA(R40:AC40)*7</f>
        <v>0</v>
      </c>
    </row>
    <row r="41" spans="1:33" x14ac:dyDescent="0.25">
      <c r="A41" s="92"/>
      <c r="B41" s="287" t="s">
        <v>286</v>
      </c>
      <c r="C41" s="288"/>
      <c r="D41" s="288"/>
      <c r="E41" s="288"/>
      <c r="F41" s="288"/>
      <c r="G41" s="288"/>
      <c r="H41" s="142">
        <f>IF(A41="*", $AZ$18, 0)</f>
        <v>0</v>
      </c>
      <c r="I41" s="291"/>
      <c r="J41" s="275"/>
      <c r="K41" s="227"/>
      <c r="L41" s="227"/>
      <c r="M41" s="227"/>
      <c r="N41" s="227"/>
      <c r="O41" s="133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140"/>
      <c r="AE41" s="228">
        <f>IF(I41+H41=0, VLOOKUP(0, DATA!$M$28:$Z$40, P41+I41+H41+1, FALSE), VLOOKUP(I41+H41, DATA!$M$28:$Z$40, P41+I41+H41+1, FALSE))+AG41</f>
        <v>0</v>
      </c>
      <c r="AF41" s="228"/>
      <c r="AG41" s="126">
        <f>COUNTA(R41:AC41)*7</f>
        <v>0</v>
      </c>
    </row>
    <row r="42" spans="1:33" x14ac:dyDescent="0.25">
      <c r="A42" s="285" t="s">
        <v>254</v>
      </c>
      <c r="B42" s="286"/>
      <c r="C42" s="286"/>
      <c r="D42" s="286"/>
      <c r="E42" s="286"/>
      <c r="F42" s="286"/>
      <c r="G42" s="104"/>
      <c r="H42" s="141">
        <f>IF(G42="*", $BA$18, 0)</f>
        <v>0</v>
      </c>
      <c r="I42" s="227"/>
      <c r="J42" s="227"/>
      <c r="K42" s="133"/>
      <c r="L42" s="133"/>
      <c r="M42" s="133"/>
      <c r="N42" s="133"/>
      <c r="O42" s="133"/>
      <c r="P42" s="268"/>
      <c r="Q42" s="268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228">
        <f>IF(ISBLANK(I42), VLOOKUP(0, DATA!$AB$28:$AN$39, P42+I42+1, FALSE), VLOOKUP(I42, DATA!$AB$28:$AN$39, P42+I42+1, FALSE))</f>
        <v>0</v>
      </c>
      <c r="AF42" s="228"/>
      <c r="AG42" s="126"/>
    </row>
    <row r="43" spans="1:33" x14ac:dyDescent="0.25">
      <c r="A43" s="92"/>
      <c r="B43" s="287" t="s">
        <v>287</v>
      </c>
      <c r="C43" s="288"/>
      <c r="D43" s="288"/>
      <c r="E43" s="288"/>
      <c r="F43" s="288"/>
      <c r="G43" s="288"/>
      <c r="H43" s="142">
        <f>IF(A43="*", $AZ$18, 0)</f>
        <v>0</v>
      </c>
      <c r="I43" s="291"/>
      <c r="J43" s="275"/>
      <c r="K43" s="227"/>
      <c r="L43" s="227"/>
      <c r="M43" s="227"/>
      <c r="N43" s="227"/>
      <c r="O43" s="133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140"/>
      <c r="AE43" s="228">
        <f>IF(I43+H43=0, VLOOKUP(0, DATA!$M$28:$Z$40, P43+I43+H43+1, FALSE), VLOOKUP(I43+H43, DATA!$M$28:$Z$40, P43+I43+H43+1, FALSE))+AG43</f>
        <v>0</v>
      </c>
      <c r="AF43" s="228"/>
      <c r="AG43" s="126">
        <f>COUNTA(R43:AC43)*7</f>
        <v>0</v>
      </c>
    </row>
    <row r="44" spans="1:33" x14ac:dyDescent="0.25">
      <c r="A44" s="92"/>
      <c r="B44" s="287" t="s">
        <v>288</v>
      </c>
      <c r="C44" s="288"/>
      <c r="D44" s="288"/>
      <c r="E44" s="288"/>
      <c r="F44" s="288"/>
      <c r="G44" s="288"/>
      <c r="H44" s="142">
        <f>IF(A44="*", $AZ$18, 0)</f>
        <v>0</v>
      </c>
      <c r="I44" s="291"/>
      <c r="J44" s="275"/>
      <c r="K44" s="227"/>
      <c r="L44" s="227"/>
      <c r="M44" s="227"/>
      <c r="N44" s="227"/>
      <c r="O44" s="133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140"/>
      <c r="AE44" s="228">
        <f>IF(I44+H44=0, VLOOKUP(0, DATA!$M$28:$Z$40, P44+I44+H44+1, FALSE), VLOOKUP(I44+H44, DATA!$M$28:$Z$40, P44+I44+H44+1, FALSE))+AG44</f>
        <v>0</v>
      </c>
      <c r="AF44" s="228"/>
      <c r="AG44" s="126">
        <f>COUNTA(R44:AC44)*7</f>
        <v>0</v>
      </c>
    </row>
    <row r="45" spans="1:33" x14ac:dyDescent="0.25">
      <c r="A45" s="92"/>
      <c r="B45" s="287" t="s">
        <v>289</v>
      </c>
      <c r="C45" s="288"/>
      <c r="D45" s="288"/>
      <c r="E45" s="288"/>
      <c r="F45" s="288"/>
      <c r="G45" s="288"/>
      <c r="H45" s="142">
        <f>IF(A45="*", $AZ$18, 0)</f>
        <v>0</v>
      </c>
      <c r="I45" s="291"/>
      <c r="J45" s="275"/>
      <c r="K45" s="227"/>
      <c r="L45" s="227"/>
      <c r="M45" s="227"/>
      <c r="N45" s="227"/>
      <c r="O45" s="133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140"/>
      <c r="AE45" s="228">
        <f>IF(I45+H45=0, VLOOKUP(0, DATA!$M$28:$Z$40, P45+I45+H45+1, FALSE), VLOOKUP(I45+H45, DATA!$M$28:$Z$40, P45+I45+H45+1, FALSE))+AG45</f>
        <v>0</v>
      </c>
      <c r="AF45" s="228"/>
      <c r="AG45" s="126">
        <f>COUNTA(R45:AC45)*7</f>
        <v>0</v>
      </c>
    </row>
    <row r="46" spans="1:33" x14ac:dyDescent="0.25">
      <c r="A46" s="285" t="s">
        <v>255</v>
      </c>
      <c r="B46" s="286"/>
      <c r="C46" s="286"/>
      <c r="D46" s="286"/>
      <c r="E46" s="286"/>
      <c r="F46" s="286"/>
      <c r="G46" s="104"/>
      <c r="H46" s="141">
        <f>IF(G46="*", $BA$18, 0)</f>
        <v>0</v>
      </c>
      <c r="I46" s="227"/>
      <c r="J46" s="227"/>
      <c r="K46" s="133"/>
      <c r="L46" s="133"/>
      <c r="M46" s="133"/>
      <c r="N46" s="133"/>
      <c r="O46" s="133"/>
      <c r="P46" s="268"/>
      <c r="Q46" s="268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228">
        <f>IF(ISBLANK(I46), VLOOKUP(0, DATA!$AB$28:$AN$39, P46+I46+1, FALSE), VLOOKUP(I46, DATA!$AB$28:$AN$39, P46+I46+1, FALSE))</f>
        <v>0</v>
      </c>
      <c r="AF46" s="228"/>
      <c r="AG46" s="126"/>
    </row>
    <row r="47" spans="1:33" x14ac:dyDescent="0.25">
      <c r="A47" s="92"/>
      <c r="B47" s="287" t="s">
        <v>290</v>
      </c>
      <c r="C47" s="288"/>
      <c r="D47" s="288"/>
      <c r="E47" s="288"/>
      <c r="F47" s="288"/>
      <c r="G47" s="288"/>
      <c r="H47" s="142">
        <f>IF(A47="*", $AZ$18, 0)</f>
        <v>0</v>
      </c>
      <c r="I47" s="291"/>
      <c r="J47" s="275"/>
      <c r="K47" s="227"/>
      <c r="L47" s="227"/>
      <c r="M47" s="227"/>
      <c r="N47" s="227"/>
      <c r="O47" s="133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140"/>
      <c r="AE47" s="228">
        <f>IF(I47+H47=0, VLOOKUP(0, DATA!$M$28:$Z$40, P47+I47+H47+1, FALSE), VLOOKUP(I47+H47, DATA!$M$28:$Z$40, P47+I47+H47+1, FALSE))+AG47</f>
        <v>0</v>
      </c>
      <c r="AF47" s="228"/>
      <c r="AG47" s="126">
        <f>COUNTA(R47:AC47)*7</f>
        <v>0</v>
      </c>
    </row>
    <row r="48" spans="1:33" x14ac:dyDescent="0.25">
      <c r="A48" s="92"/>
      <c r="B48" s="287" t="s">
        <v>291</v>
      </c>
      <c r="C48" s="288"/>
      <c r="D48" s="288"/>
      <c r="E48" s="288"/>
      <c r="F48" s="288"/>
      <c r="G48" s="288"/>
      <c r="H48" s="142">
        <f>IF(A48="*", $AZ$18, 0)</f>
        <v>0</v>
      </c>
      <c r="I48" s="291"/>
      <c r="J48" s="275"/>
      <c r="K48" s="227"/>
      <c r="L48" s="227"/>
      <c r="M48" s="227"/>
      <c r="N48" s="227"/>
      <c r="O48" s="133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140"/>
      <c r="AE48" s="228">
        <f>IF(I48+H48=0, VLOOKUP(0, DATA!$M$28:$Z$40, P48+I48+H48+1, FALSE), VLOOKUP(I48+H48, DATA!$M$28:$Z$40, P48+I48+H48+1, FALSE))+AG48</f>
        <v>0</v>
      </c>
      <c r="AF48" s="228"/>
      <c r="AG48" s="126">
        <f>COUNTA(R48:AC48)*7</f>
        <v>0</v>
      </c>
    </row>
    <row r="49" spans="1:33" x14ac:dyDescent="0.25">
      <c r="A49" s="92"/>
      <c r="B49" s="287" t="s">
        <v>292</v>
      </c>
      <c r="C49" s="288"/>
      <c r="D49" s="288"/>
      <c r="E49" s="288"/>
      <c r="F49" s="288"/>
      <c r="G49" s="288"/>
      <c r="H49" s="142">
        <f>IF(A49="*", $AZ$18, 0)</f>
        <v>0</v>
      </c>
      <c r="I49" s="291"/>
      <c r="J49" s="275"/>
      <c r="K49" s="227"/>
      <c r="L49" s="227"/>
      <c r="M49" s="227"/>
      <c r="N49" s="227"/>
      <c r="O49" s="133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140"/>
      <c r="AE49" s="228">
        <f>IF(I49+H49=0, VLOOKUP(0, DATA!$M$28:$Z$40, P49+I49+H49+1, FALSE), VLOOKUP(I49+H49, DATA!$M$28:$Z$40, P49+I49+H49+1, FALSE))+AG49</f>
        <v>0</v>
      </c>
      <c r="AF49" s="228"/>
      <c r="AG49" s="126">
        <f>COUNTA(R49:AC49)*7</f>
        <v>0</v>
      </c>
    </row>
    <row r="50" spans="1:33" x14ac:dyDescent="0.25">
      <c r="A50" s="92"/>
      <c r="B50" s="287" t="s">
        <v>293</v>
      </c>
      <c r="C50" s="288"/>
      <c r="D50" s="288"/>
      <c r="E50" s="288"/>
      <c r="F50" s="288"/>
      <c r="G50" s="288"/>
      <c r="H50" s="142">
        <f>IF(A50="*", $AZ$18, 0)</f>
        <v>0</v>
      </c>
      <c r="I50" s="291"/>
      <c r="J50" s="275"/>
      <c r="K50" s="227"/>
      <c r="L50" s="227"/>
      <c r="M50" s="227"/>
      <c r="N50" s="227"/>
      <c r="O50" s="133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140"/>
      <c r="AE50" s="228">
        <f>IF(I50+H50=0, VLOOKUP(0, DATA!$M$28:$Z$40, P50+I50+H50+1, FALSE), VLOOKUP(I50+H50, DATA!$M$28:$Z$40, P50+I50+H50+1, FALSE))+AG50</f>
        <v>0</v>
      </c>
      <c r="AF50" s="228"/>
      <c r="AG50" s="126">
        <f>COUNTA(R50:AC50)*7</f>
        <v>0</v>
      </c>
    </row>
    <row r="51" spans="1:33" x14ac:dyDescent="0.25">
      <c r="A51" s="285" t="s">
        <v>256</v>
      </c>
      <c r="B51" s="286"/>
      <c r="C51" s="286"/>
      <c r="D51" s="286"/>
      <c r="E51" s="286"/>
      <c r="F51" s="286"/>
      <c r="G51" s="104"/>
      <c r="H51" s="141">
        <f>IF(G51="*", $BA$18, 0)</f>
        <v>0</v>
      </c>
      <c r="I51" s="227"/>
      <c r="J51" s="227"/>
      <c r="K51" s="133"/>
      <c r="L51" s="133"/>
      <c r="M51" s="133"/>
      <c r="N51" s="133"/>
      <c r="O51" s="133"/>
      <c r="P51" s="268"/>
      <c r="Q51" s="268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228">
        <f>IF(ISBLANK(I51), VLOOKUP(0, DATA!$AB$28:$AN$39, P51+I51+1, FALSE), VLOOKUP(I51, DATA!$AB$28:$AN$39, P51+I51+1, FALSE))</f>
        <v>0</v>
      </c>
      <c r="AF51" s="228"/>
      <c r="AG51" s="126"/>
    </row>
    <row r="52" spans="1:33" x14ac:dyDescent="0.25">
      <c r="A52" s="92"/>
      <c r="B52" s="287" t="s">
        <v>294</v>
      </c>
      <c r="C52" s="288"/>
      <c r="D52" s="288"/>
      <c r="E52" s="288"/>
      <c r="F52" s="288"/>
      <c r="G52" s="288"/>
      <c r="H52" s="142">
        <f>IF(A52="*", $AZ$18, 0)</f>
        <v>0</v>
      </c>
      <c r="I52" s="291"/>
      <c r="J52" s="275"/>
      <c r="K52" s="227"/>
      <c r="L52" s="227"/>
      <c r="M52" s="227"/>
      <c r="N52" s="227"/>
      <c r="O52" s="133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140"/>
      <c r="AE52" s="228">
        <f>IF(I52+H52=0, VLOOKUP(0, DATA!$M$28:$Z$40, P52+I52+H52+1, FALSE), VLOOKUP(I52+H52, DATA!$M$28:$Z$40, P52+I52+H52+1, FALSE))+AG52</f>
        <v>0</v>
      </c>
      <c r="AF52" s="228"/>
      <c r="AG52" s="126">
        <f>COUNTA(R52:AC52)*7</f>
        <v>0</v>
      </c>
    </row>
    <row r="53" spans="1:33" x14ac:dyDescent="0.25">
      <c r="A53" s="92"/>
      <c r="B53" s="287" t="s">
        <v>295</v>
      </c>
      <c r="C53" s="288"/>
      <c r="D53" s="288"/>
      <c r="E53" s="288"/>
      <c r="F53" s="288"/>
      <c r="G53" s="288"/>
      <c r="H53" s="142">
        <f>IF(A53="*", $AZ$18, 0)</f>
        <v>0</v>
      </c>
      <c r="I53" s="291"/>
      <c r="J53" s="275"/>
      <c r="K53" s="227"/>
      <c r="L53" s="227"/>
      <c r="M53" s="227"/>
      <c r="N53" s="227"/>
      <c r="O53" s="133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140"/>
      <c r="AE53" s="228">
        <f>IF(I53+H53=0, VLOOKUP(0, DATA!$M$28:$Z$40, P53+I53+H53+1, FALSE), VLOOKUP(I53+H53, DATA!$M$28:$Z$40, P53+I53+H53+1, FALSE))+AG53</f>
        <v>0</v>
      </c>
      <c r="AF53" s="228"/>
      <c r="AG53" s="126">
        <f>COUNTA(R53:AC53)*7</f>
        <v>0</v>
      </c>
    </row>
    <row r="54" spans="1:33" x14ac:dyDescent="0.25">
      <c r="A54" s="92"/>
      <c r="B54" s="287" t="s">
        <v>296</v>
      </c>
      <c r="C54" s="288"/>
      <c r="D54" s="288"/>
      <c r="E54" s="288"/>
      <c r="F54" s="288"/>
      <c r="G54" s="288"/>
      <c r="H54" s="142">
        <f>IF(A54="*", $AZ$18, 0)</f>
        <v>0</v>
      </c>
      <c r="I54" s="291"/>
      <c r="J54" s="275"/>
      <c r="K54" s="227"/>
      <c r="L54" s="227"/>
      <c r="M54" s="227"/>
      <c r="N54" s="227"/>
      <c r="O54" s="133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140"/>
      <c r="AE54" s="228">
        <f>IF(I54+H54=0, VLOOKUP(0, DATA!$M$28:$Z$40, P54+I54+H54+1, FALSE), VLOOKUP(I54+H54, DATA!$M$28:$Z$40, P54+I54+H54+1, FALSE))+AG54</f>
        <v>0</v>
      </c>
      <c r="AF54" s="228"/>
      <c r="AG54" s="126">
        <f>COUNTA(R54:AC54)*7</f>
        <v>0</v>
      </c>
    </row>
    <row r="55" spans="1:33" x14ac:dyDescent="0.25">
      <c r="A55" s="285" t="s">
        <v>257</v>
      </c>
      <c r="B55" s="286"/>
      <c r="C55" s="286"/>
      <c r="D55" s="286"/>
      <c r="E55" s="286"/>
      <c r="F55" s="286"/>
      <c r="G55" s="104"/>
      <c r="H55" s="141">
        <f>IF(G55="*", $BA$18, 0)</f>
        <v>0</v>
      </c>
      <c r="I55" s="227"/>
      <c r="J55" s="227"/>
      <c r="K55" s="133"/>
      <c r="L55" s="133"/>
      <c r="M55" s="133"/>
      <c r="N55" s="133"/>
      <c r="O55" s="133"/>
      <c r="P55" s="268"/>
      <c r="Q55" s="268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228">
        <f>IF(ISBLANK(I55), VLOOKUP(0, DATA!$AB$28:$AN$39, P55+I55+1, FALSE), VLOOKUP(I55, DATA!$AB$28:$AN$39, P55+I55+1, FALSE))</f>
        <v>0</v>
      </c>
      <c r="AF55" s="228"/>
      <c r="AG55" s="126"/>
    </row>
    <row r="56" spans="1:33" x14ac:dyDescent="0.25">
      <c r="A56" s="92"/>
      <c r="B56" s="287" t="s">
        <v>297</v>
      </c>
      <c r="C56" s="288"/>
      <c r="D56" s="288"/>
      <c r="E56" s="288"/>
      <c r="F56" s="288"/>
      <c r="G56" s="288"/>
      <c r="H56" s="142">
        <f>IF(A56="*", $AZ$18, 0)</f>
        <v>0</v>
      </c>
      <c r="I56" s="291"/>
      <c r="J56" s="275"/>
      <c r="K56" s="227"/>
      <c r="L56" s="227"/>
      <c r="M56" s="227"/>
      <c r="N56" s="227"/>
      <c r="O56" s="133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140"/>
      <c r="AE56" s="228">
        <f>IF(I56+H56=0, VLOOKUP(0, DATA!$M$28:$Z$40, P56+I56+H56+1, FALSE), VLOOKUP(I56+H56, DATA!$M$28:$Z$40, P56+I56+H56+1, FALSE))+AG56</f>
        <v>0</v>
      </c>
      <c r="AF56" s="228"/>
      <c r="AG56" s="126">
        <f>COUNTA(R56:AC56)*7</f>
        <v>0</v>
      </c>
    </row>
    <row r="57" spans="1:33" x14ac:dyDescent="0.25">
      <c r="A57" s="92"/>
      <c r="B57" s="287" t="s">
        <v>298</v>
      </c>
      <c r="C57" s="288"/>
      <c r="D57" s="288"/>
      <c r="E57" s="288"/>
      <c r="F57" s="288"/>
      <c r="G57" s="288"/>
      <c r="H57" s="142">
        <f>IF(A57="*", $AZ$18, 0)</f>
        <v>0</v>
      </c>
      <c r="I57" s="291"/>
      <c r="J57" s="275"/>
      <c r="K57" s="227"/>
      <c r="L57" s="227"/>
      <c r="M57" s="227"/>
      <c r="N57" s="227"/>
      <c r="O57" s="133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140"/>
      <c r="AE57" s="228">
        <f>IF(I57+H57=0, VLOOKUP(0, DATA!$M$28:$Z$40, P57+I57+H57+1, FALSE), VLOOKUP(I57+H57, DATA!$M$28:$Z$40, P57+I57+H57+1, FALSE))+AG57</f>
        <v>0</v>
      </c>
      <c r="AF57" s="228"/>
      <c r="AG57" s="126">
        <f>COUNTA(R57:AC57)*7</f>
        <v>0</v>
      </c>
    </row>
    <row r="58" spans="1:33" x14ac:dyDescent="0.25">
      <c r="A58" s="92"/>
      <c r="B58" s="287" t="s">
        <v>299</v>
      </c>
      <c r="C58" s="288"/>
      <c r="D58" s="288"/>
      <c r="E58" s="288"/>
      <c r="F58" s="288"/>
      <c r="G58" s="288"/>
      <c r="H58" s="142">
        <f>IF(A58="*", $AZ$18, 0)</f>
        <v>0</v>
      </c>
      <c r="I58" s="291"/>
      <c r="J58" s="275"/>
      <c r="K58" s="227"/>
      <c r="L58" s="227"/>
      <c r="M58" s="227"/>
      <c r="N58" s="227"/>
      <c r="O58" s="133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140"/>
      <c r="AE58" s="228">
        <f>IF(I58+H58=0, VLOOKUP(0, DATA!$M$28:$Z$40, P58+I58+H58+1, FALSE), VLOOKUP(I58+H58, DATA!$M$28:$Z$40, P58+I58+H58+1, FALSE))+AG58</f>
        <v>0</v>
      </c>
      <c r="AF58" s="228"/>
      <c r="AG58" s="126">
        <f>COUNTA(R58:AC58)*7</f>
        <v>0</v>
      </c>
    </row>
    <row r="59" spans="1:33" x14ac:dyDescent="0.25">
      <c r="A59" s="285" t="s">
        <v>258</v>
      </c>
      <c r="B59" s="286"/>
      <c r="C59" s="286"/>
      <c r="D59" s="286"/>
      <c r="E59" s="286"/>
      <c r="F59" s="286"/>
      <c r="G59" s="104"/>
      <c r="H59" s="141">
        <f>IF(G59="*", $BA$18, 0)</f>
        <v>0</v>
      </c>
      <c r="I59" s="291"/>
      <c r="J59" s="275"/>
      <c r="K59" s="133"/>
      <c r="L59" s="133"/>
      <c r="M59" s="133"/>
      <c r="N59" s="133"/>
      <c r="O59" s="133"/>
      <c r="P59" s="268"/>
      <c r="Q59" s="268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228">
        <f>IF(ISBLANK(I59), VLOOKUP(0, DATA!$AB$28:$AN$39, P59+I59+1, FALSE), VLOOKUP(I59, DATA!$AB$28:$AN$39, P59+I59+1, FALSE))</f>
        <v>0</v>
      </c>
      <c r="AF59" s="228"/>
      <c r="AG59" s="126"/>
    </row>
    <row r="60" spans="1:33" x14ac:dyDescent="0.25">
      <c r="A60" s="92"/>
      <c r="B60" s="287" t="s">
        <v>300</v>
      </c>
      <c r="C60" s="288"/>
      <c r="D60" s="288"/>
      <c r="E60" s="288"/>
      <c r="F60" s="288"/>
      <c r="G60" s="288"/>
      <c r="H60" s="142">
        <f>IF(A60="*", $AZ$18, 0)</f>
        <v>0</v>
      </c>
      <c r="I60" s="291"/>
      <c r="J60" s="275"/>
      <c r="K60" s="227"/>
      <c r="L60" s="227"/>
      <c r="M60" s="227"/>
      <c r="N60" s="227"/>
      <c r="O60" s="133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140"/>
      <c r="AE60" s="228">
        <f>IF(I60+H60=0, VLOOKUP(0, DATA!$M$28:$Z$40, P60+I60+H60+1, FALSE), VLOOKUP(I60+H60, DATA!$M$28:$Z$40, P60+I60+H60+1, FALSE))+AG60</f>
        <v>0</v>
      </c>
      <c r="AF60" s="228"/>
      <c r="AG60" s="126">
        <f>COUNTA(R60:AC60)*7</f>
        <v>0</v>
      </c>
    </row>
    <row r="61" spans="1:33" x14ac:dyDescent="0.25">
      <c r="A61" s="92"/>
      <c r="B61" s="287" t="s">
        <v>301</v>
      </c>
      <c r="C61" s="288"/>
      <c r="D61" s="288"/>
      <c r="E61" s="288"/>
      <c r="F61" s="288"/>
      <c r="G61" s="288"/>
      <c r="H61" s="142">
        <f>IF(A61="*", $AZ$18, 0)</f>
        <v>0</v>
      </c>
      <c r="I61" s="291"/>
      <c r="J61" s="275"/>
      <c r="K61" s="227"/>
      <c r="L61" s="227"/>
      <c r="M61" s="227"/>
      <c r="N61" s="227"/>
      <c r="O61" s="133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140"/>
      <c r="AE61" s="228">
        <f>IF(I61+H61=0, VLOOKUP(0, DATA!$M$28:$Z$40, P61+I61+H61+1, FALSE), VLOOKUP(I61+H61, DATA!$M$28:$Z$40, P61+I61+H61+1, FALSE))+AG61</f>
        <v>0</v>
      </c>
      <c r="AF61" s="228"/>
      <c r="AG61" s="126">
        <f>COUNTA(R61:AC61)*7</f>
        <v>0</v>
      </c>
    </row>
    <row r="62" spans="1:33" x14ac:dyDescent="0.25">
      <c r="A62" s="92"/>
      <c r="B62" s="287" t="s">
        <v>302</v>
      </c>
      <c r="C62" s="288"/>
      <c r="D62" s="288"/>
      <c r="E62" s="288"/>
      <c r="F62" s="288"/>
      <c r="G62" s="288"/>
      <c r="H62" s="142">
        <f>IF(A62="*", $AZ$18, 0)</f>
        <v>0</v>
      </c>
      <c r="I62" s="291"/>
      <c r="J62" s="275"/>
      <c r="K62" s="227"/>
      <c r="L62" s="227"/>
      <c r="M62" s="227"/>
      <c r="N62" s="227"/>
      <c r="O62" s="133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140"/>
      <c r="AE62" s="228">
        <f>IF(I62+H62=0, VLOOKUP(0, DATA!$M$28:$Z$40, P62+I62+H62+1, FALSE), VLOOKUP(I62+H62, DATA!$M$28:$Z$40, P62+I62+H62+1, FALSE))+AG62</f>
        <v>0</v>
      </c>
      <c r="AF62" s="228"/>
      <c r="AG62" s="126">
        <f>COUNTA(R62:AC62)*7</f>
        <v>0</v>
      </c>
    </row>
    <row r="63" spans="1:33" x14ac:dyDescent="0.25">
      <c r="A63" s="285" t="s">
        <v>259</v>
      </c>
      <c r="B63" s="286"/>
      <c r="C63" s="286"/>
      <c r="D63" s="286"/>
      <c r="E63" s="286"/>
      <c r="F63" s="286"/>
      <c r="G63" s="104"/>
      <c r="H63" s="141">
        <f>IF(G63="*", $BA$18, 0)</f>
        <v>0</v>
      </c>
      <c r="I63" s="227"/>
      <c r="J63" s="227"/>
      <c r="K63" s="133"/>
      <c r="L63" s="133"/>
      <c r="M63" s="133"/>
      <c r="N63" s="133"/>
      <c r="O63" s="133"/>
      <c r="P63" s="268"/>
      <c r="Q63" s="268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228">
        <f>IF(ISBLANK(I63), VLOOKUP(0, DATA!$AB$28:$AN$39, P63+I63+1, FALSE), VLOOKUP(I63, DATA!$AB$28:$AN$39, P63+I63+1, FALSE))</f>
        <v>0</v>
      </c>
      <c r="AF63" s="228"/>
      <c r="AG63" s="126"/>
    </row>
    <row r="64" spans="1:33" x14ac:dyDescent="0.25">
      <c r="A64" s="92"/>
      <c r="B64" s="287" t="s">
        <v>303</v>
      </c>
      <c r="C64" s="288"/>
      <c r="D64" s="288"/>
      <c r="E64" s="288"/>
      <c r="F64" s="288"/>
      <c r="G64" s="288"/>
      <c r="H64" s="142">
        <f>IF(A64="*", $AZ$18, 0)</f>
        <v>0</v>
      </c>
      <c r="I64" s="291"/>
      <c r="J64" s="275"/>
      <c r="K64" s="227"/>
      <c r="L64" s="227"/>
      <c r="M64" s="227"/>
      <c r="N64" s="227"/>
      <c r="O64" s="133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140"/>
      <c r="AE64" s="228">
        <f>IF(I64+H64=0, VLOOKUP(0, DATA!$M$28:$Z$40, P64+I64+H64+1, FALSE), VLOOKUP(I64+H64, DATA!$M$28:$Z$40, P64+I64+H64+1, FALSE))+AG64</f>
        <v>0</v>
      </c>
      <c r="AF64" s="228"/>
      <c r="AG64" s="126">
        <f>COUNTA(R64:AC64)*7</f>
        <v>0</v>
      </c>
    </row>
    <row r="65" spans="1:33" x14ac:dyDescent="0.25">
      <c r="A65" s="92"/>
      <c r="B65" s="287" t="s">
        <v>304</v>
      </c>
      <c r="C65" s="288"/>
      <c r="D65" s="288"/>
      <c r="E65" s="288"/>
      <c r="F65" s="288"/>
      <c r="G65" s="288"/>
      <c r="H65" s="142">
        <f>IF(A65="*", $AZ$18, 0)</f>
        <v>0</v>
      </c>
      <c r="I65" s="291"/>
      <c r="J65" s="275"/>
      <c r="K65" s="227"/>
      <c r="L65" s="227"/>
      <c r="M65" s="227"/>
      <c r="N65" s="227"/>
      <c r="O65" s="133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140"/>
      <c r="AE65" s="228">
        <f>IF(I65+H65=0, VLOOKUP(0, DATA!$M$28:$Z$40, P65+I65+H65+1, FALSE), VLOOKUP(I65+H65, DATA!$M$28:$Z$40, P65+I65+H65+1, FALSE))+AG65</f>
        <v>0</v>
      </c>
      <c r="AF65" s="228"/>
      <c r="AG65" s="126">
        <f>COUNTA(R65:AC65)*7</f>
        <v>0</v>
      </c>
    </row>
    <row r="66" spans="1:33" x14ac:dyDescent="0.25">
      <c r="A66" s="92"/>
      <c r="B66" s="287" t="s">
        <v>305</v>
      </c>
      <c r="C66" s="288"/>
      <c r="D66" s="288"/>
      <c r="E66" s="288"/>
      <c r="F66" s="288"/>
      <c r="G66" s="288"/>
      <c r="H66" s="142">
        <f>IF(A66="*", $AZ$18, 0)</f>
        <v>0</v>
      </c>
      <c r="I66" s="291"/>
      <c r="J66" s="275"/>
      <c r="K66" s="227"/>
      <c r="L66" s="227"/>
      <c r="M66" s="227"/>
      <c r="N66" s="227"/>
      <c r="O66" s="133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140"/>
      <c r="AE66" s="228">
        <f>IF(I66+H66=0, VLOOKUP(0, DATA!$M$28:$Z$40, P66+I66+H66+1, FALSE), VLOOKUP(I66+H66, DATA!$M$28:$Z$40, P66+I66+H66+1, FALSE))+AG66</f>
        <v>0</v>
      </c>
      <c r="AF66" s="228"/>
      <c r="AG66" s="126">
        <f>COUNTA(R66:AC66)*7</f>
        <v>0</v>
      </c>
    </row>
    <row r="67" spans="1:33" x14ac:dyDescent="0.25">
      <c r="A67" s="226" t="s">
        <v>191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133"/>
      <c r="L67" s="133"/>
      <c r="M67" s="133"/>
      <c r="N67" s="133"/>
      <c r="O67" s="133"/>
      <c r="P67" s="265"/>
      <c r="Q67" s="265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265"/>
      <c r="AF67" s="265"/>
      <c r="AG67" s="126"/>
    </row>
    <row r="68" spans="1:33" x14ac:dyDescent="0.25">
      <c r="A68" s="92"/>
      <c r="B68" s="287" t="s">
        <v>306</v>
      </c>
      <c r="C68" s="288"/>
      <c r="D68" s="288"/>
      <c r="E68" s="288"/>
      <c r="F68" s="288"/>
      <c r="G68" s="288"/>
      <c r="H68" s="142">
        <f t="shared" ref="H68:H75" si="5">IF(A68="*", $AZ$18, 0)</f>
        <v>0</v>
      </c>
      <c r="I68" s="291"/>
      <c r="J68" s="275"/>
      <c r="K68" s="227"/>
      <c r="L68" s="227"/>
      <c r="M68" s="227"/>
      <c r="N68" s="227"/>
      <c r="O68" s="133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140"/>
      <c r="AE68" s="228">
        <f>IF(I68+H68=0, VLOOKUP(0, DATA!$M$28:$Z$40, P68+I68+H68+1, FALSE), VLOOKUP(I68+H68, DATA!$M$28:$Z$40, P68+I68+H68+1, FALSE))+AG68</f>
        <v>0</v>
      </c>
      <c r="AF68" s="228"/>
      <c r="AG68" s="126">
        <f t="shared" ref="AG68:AG75" si="6">COUNTA(R68:AC68)*7</f>
        <v>0</v>
      </c>
    </row>
    <row r="69" spans="1:33" x14ac:dyDescent="0.25">
      <c r="A69" s="92"/>
      <c r="B69" s="287" t="s">
        <v>307</v>
      </c>
      <c r="C69" s="288"/>
      <c r="D69" s="288"/>
      <c r="E69" s="288"/>
      <c r="F69" s="288"/>
      <c r="G69" s="288"/>
      <c r="H69" s="142">
        <f t="shared" si="5"/>
        <v>0</v>
      </c>
      <c r="I69" s="291"/>
      <c r="J69" s="275"/>
      <c r="K69" s="227"/>
      <c r="L69" s="227"/>
      <c r="M69" s="227"/>
      <c r="N69" s="227"/>
      <c r="O69" s="133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140"/>
      <c r="AE69" s="228">
        <f>IF(I69+H69=0, VLOOKUP(0, DATA!$M$28:$Z$40, P69+I69+H69+1, FALSE), VLOOKUP(I69+H69, DATA!$M$28:$Z$40, P69+I69+H69+1, FALSE))+AG69</f>
        <v>0</v>
      </c>
      <c r="AF69" s="228"/>
      <c r="AG69" s="126">
        <f t="shared" si="6"/>
        <v>0</v>
      </c>
    </row>
    <row r="70" spans="1:33" x14ac:dyDescent="0.25">
      <c r="A70" s="92"/>
      <c r="B70" s="287" t="s">
        <v>308</v>
      </c>
      <c r="C70" s="288"/>
      <c r="D70" s="288"/>
      <c r="E70" s="288"/>
      <c r="F70" s="288"/>
      <c r="G70" s="288"/>
      <c r="H70" s="142">
        <f t="shared" si="5"/>
        <v>0</v>
      </c>
      <c r="I70" s="291"/>
      <c r="J70" s="275"/>
      <c r="K70" s="227"/>
      <c r="L70" s="227"/>
      <c r="M70" s="227"/>
      <c r="N70" s="227"/>
      <c r="O70" s="133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140"/>
      <c r="AE70" s="228">
        <f>IF(I70+H70=0, VLOOKUP(0, DATA!$M$28:$Z$40, P70+I70+H70+1, FALSE), VLOOKUP(I70+H70, DATA!$M$28:$Z$40, P70+I70+H70+1, FALSE))+AG70</f>
        <v>0</v>
      </c>
      <c r="AF70" s="228"/>
      <c r="AG70" s="126">
        <f t="shared" si="6"/>
        <v>0</v>
      </c>
    </row>
    <row r="71" spans="1:33" x14ac:dyDescent="0.25">
      <c r="A71" s="92"/>
      <c r="B71" s="287" t="s">
        <v>309</v>
      </c>
      <c r="C71" s="288"/>
      <c r="D71" s="288"/>
      <c r="E71" s="288"/>
      <c r="F71" s="288"/>
      <c r="G71" s="288"/>
      <c r="H71" s="142">
        <f t="shared" si="5"/>
        <v>0</v>
      </c>
      <c r="I71" s="291"/>
      <c r="J71" s="275"/>
      <c r="K71" s="227"/>
      <c r="L71" s="227"/>
      <c r="M71" s="227"/>
      <c r="N71" s="227"/>
      <c r="O71" s="133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140"/>
      <c r="AE71" s="228">
        <f>IF(I71+H71=0, VLOOKUP(0, DATA!$M$28:$Z$40, P71+I71+H71+1, FALSE), VLOOKUP(I71+H71, DATA!$M$28:$Z$40, P71+I71+H71+1, FALSE))+AG71</f>
        <v>0</v>
      </c>
      <c r="AF71" s="228"/>
      <c r="AG71" s="126">
        <f t="shared" si="6"/>
        <v>0</v>
      </c>
    </row>
    <row r="72" spans="1:33" x14ac:dyDescent="0.25">
      <c r="A72" s="92"/>
      <c r="B72" s="287" t="s">
        <v>310</v>
      </c>
      <c r="C72" s="288"/>
      <c r="D72" s="288"/>
      <c r="E72" s="288"/>
      <c r="F72" s="288"/>
      <c r="G72" s="288"/>
      <c r="H72" s="142">
        <f t="shared" si="5"/>
        <v>0</v>
      </c>
      <c r="I72" s="291"/>
      <c r="J72" s="275"/>
      <c r="K72" s="227"/>
      <c r="L72" s="227"/>
      <c r="M72" s="227"/>
      <c r="N72" s="227"/>
      <c r="O72" s="133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140"/>
      <c r="AE72" s="228">
        <f>IF(I72+H72=0, VLOOKUP(0, DATA!$M$28:$Z$40, P72+I72+H72+1, FALSE), VLOOKUP(I72+H72, DATA!$M$28:$Z$40, P72+I72+H72+1, FALSE))+AG72</f>
        <v>0</v>
      </c>
      <c r="AF72" s="228"/>
      <c r="AG72" s="126">
        <f t="shared" si="6"/>
        <v>0</v>
      </c>
    </row>
    <row r="73" spans="1:33" x14ac:dyDescent="0.25">
      <c r="A73" s="92"/>
      <c r="B73" s="287" t="s">
        <v>311</v>
      </c>
      <c r="C73" s="288"/>
      <c r="D73" s="288"/>
      <c r="E73" s="288"/>
      <c r="F73" s="288"/>
      <c r="G73" s="288"/>
      <c r="H73" s="142">
        <f t="shared" si="5"/>
        <v>0</v>
      </c>
      <c r="I73" s="291"/>
      <c r="J73" s="275"/>
      <c r="K73" s="227"/>
      <c r="L73" s="227"/>
      <c r="M73" s="227"/>
      <c r="N73" s="227"/>
      <c r="O73" s="133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140"/>
      <c r="AE73" s="228">
        <f>IF(I73+H73=0, VLOOKUP(0, DATA!$M$28:$Z$40, P73+I73+H73+1, FALSE), VLOOKUP(I73+H73, DATA!$M$28:$Z$40, P73+I73+H73+1, FALSE))+AG73</f>
        <v>0</v>
      </c>
      <c r="AF73" s="228"/>
      <c r="AG73" s="126">
        <f t="shared" si="6"/>
        <v>0</v>
      </c>
    </row>
    <row r="74" spans="1:33" x14ac:dyDescent="0.25">
      <c r="A74" s="92"/>
      <c r="B74" s="287" t="s">
        <v>344</v>
      </c>
      <c r="C74" s="288"/>
      <c r="D74" s="288"/>
      <c r="E74" s="288"/>
      <c r="F74" s="288"/>
      <c r="G74" s="288"/>
      <c r="H74" s="142">
        <f t="shared" si="5"/>
        <v>0</v>
      </c>
      <c r="I74" s="291"/>
      <c r="J74" s="275"/>
      <c r="K74" s="227"/>
      <c r="L74" s="227"/>
      <c r="M74" s="227"/>
      <c r="N74" s="227"/>
      <c r="O74" s="133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140"/>
      <c r="AE74" s="228">
        <f>IF(I74+H74=0, VLOOKUP(0, DATA!$M$28:$Z$40, P74+I74+H74+1, FALSE), VLOOKUP(I74+H74, DATA!$M$28:$Z$40, P74+I74+H74+1, FALSE))+AG74</f>
        <v>0</v>
      </c>
      <c r="AF74" s="228"/>
      <c r="AG74" s="126">
        <f t="shared" si="6"/>
        <v>0</v>
      </c>
    </row>
    <row r="75" spans="1:33" x14ac:dyDescent="0.25">
      <c r="A75" s="92"/>
      <c r="B75" s="287" t="s">
        <v>312</v>
      </c>
      <c r="C75" s="288"/>
      <c r="D75" s="288"/>
      <c r="E75" s="288"/>
      <c r="F75" s="288"/>
      <c r="G75" s="288"/>
      <c r="H75" s="142">
        <f t="shared" si="5"/>
        <v>0</v>
      </c>
      <c r="I75" s="291"/>
      <c r="J75" s="275"/>
      <c r="K75" s="227"/>
      <c r="L75" s="227"/>
      <c r="M75" s="227"/>
      <c r="N75" s="227"/>
      <c r="O75" s="133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140"/>
      <c r="AE75" s="228">
        <f>IF(I75+H75=0, VLOOKUP(0, DATA!$M$28:$Z$40, P75+I75+H75+1, FALSE), VLOOKUP(I75+H75, DATA!$M$28:$Z$40, P75+I75+H75+1, FALSE))+AG75</f>
        <v>0</v>
      </c>
      <c r="AF75" s="228"/>
      <c r="AG75" s="126">
        <f t="shared" si="6"/>
        <v>0</v>
      </c>
    </row>
    <row r="76" spans="1:33" x14ac:dyDescent="0.25">
      <c r="A76" s="294" t="s">
        <v>190</v>
      </c>
      <c r="B76" s="295"/>
      <c r="C76" s="295"/>
      <c r="D76" s="295"/>
      <c r="E76" s="295"/>
      <c r="F76" s="295"/>
      <c r="G76" s="295"/>
      <c r="H76" s="295"/>
      <c r="I76" s="295"/>
      <c r="J76" s="296"/>
      <c r="K76" s="133"/>
      <c r="L76" s="133"/>
      <c r="M76" s="133"/>
      <c r="N76" s="133"/>
      <c r="O76" s="133"/>
      <c r="P76" s="265"/>
      <c r="Q76" s="265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265"/>
      <c r="AF76" s="265"/>
      <c r="AG76" s="126"/>
    </row>
    <row r="77" spans="1:33" x14ac:dyDescent="0.25">
      <c r="A77" s="92"/>
      <c r="B77" s="287" t="s">
        <v>313</v>
      </c>
      <c r="C77" s="288"/>
      <c r="D77" s="288"/>
      <c r="E77" s="288"/>
      <c r="F77" s="288"/>
      <c r="G77" s="288"/>
      <c r="H77" s="142">
        <f>IF(A77="*", $AZ$18, 0)</f>
        <v>0</v>
      </c>
      <c r="I77" s="291"/>
      <c r="J77" s="275"/>
      <c r="K77" s="227"/>
      <c r="L77" s="227"/>
      <c r="M77" s="227"/>
      <c r="N77" s="227"/>
      <c r="O77" s="133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140"/>
      <c r="AE77" s="228">
        <f>IF(I77+H77=0, VLOOKUP(0, DATA!$M$28:$Z$40, P77+I77+H77+1, FALSE), VLOOKUP(I77+H77, DATA!$M$28:$Z$40, P77+I77+H77+1, FALSE))+AG77</f>
        <v>0</v>
      </c>
      <c r="AF77" s="228"/>
      <c r="AG77" s="126">
        <f>COUNTA(R77:AC77)*7</f>
        <v>0</v>
      </c>
    </row>
    <row r="78" spans="1:33" x14ac:dyDescent="0.25">
      <c r="A78" s="92"/>
      <c r="B78" s="287" t="s">
        <v>314</v>
      </c>
      <c r="C78" s="288"/>
      <c r="D78" s="288"/>
      <c r="E78" s="288"/>
      <c r="F78" s="288"/>
      <c r="G78" s="288"/>
      <c r="H78" s="142">
        <f>IF(A78="*", $AZ$18, 0)</f>
        <v>0</v>
      </c>
      <c r="I78" s="291"/>
      <c r="J78" s="275"/>
      <c r="K78" s="227"/>
      <c r="L78" s="227"/>
      <c r="M78" s="227"/>
      <c r="N78" s="227"/>
      <c r="O78" s="133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140"/>
      <c r="AE78" s="228">
        <f>IF(I78+H78=0, VLOOKUP(0, DATA!$M$28:$Z$40, P78+I78+H78+1, FALSE), VLOOKUP(I78+H78, DATA!$M$28:$Z$40, P78+I78+H78+1, FALSE))+AG78</f>
        <v>0</v>
      </c>
      <c r="AF78" s="228"/>
      <c r="AG78" s="126">
        <f>COUNTA(R78:AC78)*7</f>
        <v>0</v>
      </c>
    </row>
    <row r="79" spans="1:33" x14ac:dyDescent="0.25">
      <c r="A79" s="294" t="s">
        <v>192</v>
      </c>
      <c r="B79" s="295"/>
      <c r="C79" s="295"/>
      <c r="D79" s="295"/>
      <c r="E79" s="295"/>
      <c r="F79" s="295"/>
      <c r="G79" s="295"/>
      <c r="H79" s="295"/>
      <c r="I79" s="295"/>
      <c r="J79" s="296"/>
      <c r="K79" s="133"/>
      <c r="L79" s="133"/>
      <c r="M79" s="133"/>
      <c r="N79" s="133"/>
      <c r="O79" s="133"/>
      <c r="P79" s="265"/>
      <c r="Q79" s="265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278"/>
      <c r="AF79" s="278"/>
      <c r="AG79" s="126"/>
    </row>
    <row r="80" spans="1:33" x14ac:dyDescent="0.25">
      <c r="A80" s="92"/>
      <c r="B80" s="287" t="s">
        <v>315</v>
      </c>
      <c r="C80" s="288"/>
      <c r="D80" s="288"/>
      <c r="E80" s="288"/>
      <c r="F80" s="288"/>
      <c r="G80" s="288"/>
      <c r="H80" s="142">
        <f t="shared" ref="H80:H85" si="7">IF(A80="*", $AZ$18, 0)</f>
        <v>0</v>
      </c>
      <c r="I80" s="291"/>
      <c r="J80" s="275"/>
      <c r="K80" s="227"/>
      <c r="L80" s="227"/>
      <c r="M80" s="227"/>
      <c r="N80" s="227"/>
      <c r="O80" s="133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140"/>
      <c r="AE80" s="228">
        <f>IF(I80+H80=0, VLOOKUP(0, DATA!$M$28:$Z$40, P80+I80+H80+1, FALSE), VLOOKUP(I80+H80, DATA!$M$28:$Z$40, P80+I80+H80+1, FALSE))+AG80</f>
        <v>0</v>
      </c>
      <c r="AF80" s="228"/>
      <c r="AG80" s="126">
        <f t="shared" ref="AG80:AG85" si="8">COUNTA(R80:AC80)*7</f>
        <v>0</v>
      </c>
    </row>
    <row r="81" spans="1:33" x14ac:dyDescent="0.25">
      <c r="A81" s="92"/>
      <c r="B81" s="287" t="s">
        <v>316</v>
      </c>
      <c r="C81" s="288"/>
      <c r="D81" s="288"/>
      <c r="E81" s="288"/>
      <c r="F81" s="288"/>
      <c r="G81" s="288"/>
      <c r="H81" s="142">
        <f t="shared" si="7"/>
        <v>0</v>
      </c>
      <c r="I81" s="291"/>
      <c r="J81" s="275"/>
      <c r="K81" s="227"/>
      <c r="L81" s="227"/>
      <c r="M81" s="227"/>
      <c r="N81" s="227"/>
      <c r="O81" s="133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140"/>
      <c r="AE81" s="228">
        <f>IF(I81+H81=0, VLOOKUP(0, DATA!$M$28:$Z$40, P81+I81+H81+1, FALSE), VLOOKUP(I81+H81, DATA!$M$28:$Z$40, P81+I81+H81+1, FALSE))+AG81</f>
        <v>0</v>
      </c>
      <c r="AF81" s="228"/>
      <c r="AG81" s="126">
        <f t="shared" si="8"/>
        <v>0</v>
      </c>
    </row>
    <row r="82" spans="1:33" x14ac:dyDescent="0.25">
      <c r="A82" s="92"/>
      <c r="B82" s="287" t="s">
        <v>317</v>
      </c>
      <c r="C82" s="288"/>
      <c r="D82" s="288"/>
      <c r="E82" s="288"/>
      <c r="F82" s="288"/>
      <c r="G82" s="288"/>
      <c r="H82" s="142">
        <f t="shared" si="7"/>
        <v>0</v>
      </c>
      <c r="I82" s="291"/>
      <c r="J82" s="275"/>
      <c r="K82" s="227"/>
      <c r="L82" s="227"/>
      <c r="M82" s="227"/>
      <c r="N82" s="227"/>
      <c r="O82" s="133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140"/>
      <c r="AE82" s="228">
        <f>IF(I82+H82=0, VLOOKUP(0, DATA!$M$28:$Z$40, P82+I82+H82+1, FALSE), VLOOKUP(I82+H82, DATA!$M$28:$Z$40, P82+I82+H82+1, FALSE))+AG82</f>
        <v>0</v>
      </c>
      <c r="AF82" s="228"/>
      <c r="AG82" s="126">
        <f t="shared" si="8"/>
        <v>0</v>
      </c>
    </row>
    <row r="83" spans="1:33" x14ac:dyDescent="0.25">
      <c r="A83" s="92"/>
      <c r="B83" s="287" t="s">
        <v>318</v>
      </c>
      <c r="C83" s="288"/>
      <c r="D83" s="288"/>
      <c r="E83" s="288"/>
      <c r="F83" s="288"/>
      <c r="G83" s="288"/>
      <c r="H83" s="142">
        <f t="shared" si="7"/>
        <v>0</v>
      </c>
      <c r="I83" s="291"/>
      <c r="J83" s="275"/>
      <c r="K83" s="227"/>
      <c r="L83" s="227"/>
      <c r="M83" s="227"/>
      <c r="N83" s="227"/>
      <c r="O83" s="133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140"/>
      <c r="AE83" s="228">
        <f>IF(I83+H83=0, VLOOKUP(0, DATA!$M$28:$Z$40, P83+I83+H83+1, FALSE), VLOOKUP(I83+H83, DATA!$M$28:$Z$40, P83+I83+H83+1, FALSE))+AG83</f>
        <v>0</v>
      </c>
      <c r="AF83" s="228"/>
      <c r="AG83" s="126">
        <f t="shared" si="8"/>
        <v>0</v>
      </c>
    </row>
    <row r="84" spans="1:33" x14ac:dyDescent="0.25">
      <c r="A84" s="92"/>
      <c r="B84" s="287" t="s">
        <v>319</v>
      </c>
      <c r="C84" s="288"/>
      <c r="D84" s="288"/>
      <c r="E84" s="288"/>
      <c r="F84" s="288"/>
      <c r="G84" s="288"/>
      <c r="H84" s="142">
        <f t="shared" si="7"/>
        <v>0</v>
      </c>
      <c r="I84" s="291"/>
      <c r="J84" s="275"/>
      <c r="K84" s="227"/>
      <c r="L84" s="227"/>
      <c r="M84" s="227"/>
      <c r="N84" s="227"/>
      <c r="O84" s="133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140"/>
      <c r="AE84" s="228">
        <f>IF(I84+H84=0, VLOOKUP(0, DATA!$M$28:$Z$40, P84+I84+H84+1, FALSE), VLOOKUP(I84+H84, DATA!$M$28:$Z$40, P84+I84+H84+1, FALSE))+AG84</f>
        <v>0</v>
      </c>
      <c r="AF84" s="228"/>
      <c r="AG84" s="126">
        <f t="shared" si="8"/>
        <v>0</v>
      </c>
    </row>
    <row r="85" spans="1:33" x14ac:dyDescent="0.25">
      <c r="A85" s="92"/>
      <c r="B85" s="287" t="s">
        <v>320</v>
      </c>
      <c r="C85" s="288"/>
      <c r="D85" s="288"/>
      <c r="E85" s="288"/>
      <c r="F85" s="288"/>
      <c r="G85" s="288"/>
      <c r="H85" s="142">
        <f t="shared" si="7"/>
        <v>0</v>
      </c>
      <c r="I85" s="291"/>
      <c r="J85" s="275"/>
      <c r="K85" s="227"/>
      <c r="L85" s="227"/>
      <c r="M85" s="227"/>
      <c r="N85" s="227"/>
      <c r="O85" s="133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140"/>
      <c r="AE85" s="228">
        <f>IF(I85+H85=0, VLOOKUP(0, DATA!$M$28:$Z$40, P85+I85+H85+1, FALSE), VLOOKUP(I85+H85, DATA!$M$28:$Z$40, P85+I85+H85+1, FALSE))+AG85</f>
        <v>0</v>
      </c>
      <c r="AF85" s="228"/>
      <c r="AG85" s="126">
        <f t="shared" si="8"/>
        <v>0</v>
      </c>
    </row>
    <row r="86" spans="1:33" x14ac:dyDescent="0.25">
      <c r="A86" s="226" t="s">
        <v>101</v>
      </c>
      <c r="B86" s="226"/>
      <c r="C86" s="226"/>
      <c r="D86" s="226"/>
      <c r="E86" s="226"/>
      <c r="F86" s="226"/>
      <c r="G86" s="226"/>
      <c r="H86" s="226"/>
      <c r="I86" s="226"/>
      <c r="J86" s="226"/>
      <c r="K86" s="133"/>
      <c r="L86" s="133"/>
      <c r="M86" s="133"/>
      <c r="N86" s="133"/>
      <c r="O86" s="133"/>
      <c r="P86" s="265"/>
      <c r="Q86" s="265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278"/>
      <c r="AF86" s="278"/>
      <c r="AG86" s="126"/>
    </row>
    <row r="87" spans="1:33" x14ac:dyDescent="0.25">
      <c r="A87" s="92"/>
      <c r="B87" s="287" t="s">
        <v>321</v>
      </c>
      <c r="C87" s="288"/>
      <c r="D87" s="288"/>
      <c r="E87" s="288"/>
      <c r="F87" s="288"/>
      <c r="G87" s="288"/>
      <c r="H87" s="142">
        <f>IF(A87="*", $AZ$18, 0)</f>
        <v>0</v>
      </c>
      <c r="I87" s="291"/>
      <c r="J87" s="275"/>
      <c r="K87" s="227"/>
      <c r="L87" s="227"/>
      <c r="M87" s="227"/>
      <c r="N87" s="227"/>
      <c r="O87" s="133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140"/>
      <c r="AE87" s="228">
        <f>IF(I87+H87=0, VLOOKUP(0, DATA!$M$28:$Z$40, P87+I87+H87+1, FALSE), VLOOKUP(I87+H87, DATA!$M$28:$Z$40, P87+I87+H87+1, FALSE))+AG87</f>
        <v>0</v>
      </c>
      <c r="AF87" s="228"/>
      <c r="AG87" s="126">
        <f>COUNTA(R87:AC87)*7</f>
        <v>0</v>
      </c>
    </row>
    <row r="88" spans="1:33" x14ac:dyDescent="0.25">
      <c r="A88" s="92"/>
      <c r="B88" s="287" t="s">
        <v>322</v>
      </c>
      <c r="C88" s="288"/>
      <c r="D88" s="288"/>
      <c r="E88" s="288"/>
      <c r="F88" s="288"/>
      <c r="G88" s="288"/>
      <c r="H88" s="142">
        <f>IF(A88="*", $AZ$18, 0)</f>
        <v>0</v>
      </c>
      <c r="I88" s="291"/>
      <c r="J88" s="275"/>
      <c r="K88" s="227"/>
      <c r="L88" s="227"/>
      <c r="M88" s="227"/>
      <c r="N88" s="227"/>
      <c r="O88" s="133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140"/>
      <c r="AE88" s="228">
        <f>IF(I88+H88=0, VLOOKUP(0, DATA!$M$28:$Z$40, P88+I88+H88+1, FALSE), VLOOKUP(I88+H88, DATA!$M$28:$Z$40, P88+I88+H88+1, FALSE))+AG88</f>
        <v>0</v>
      </c>
      <c r="AF88" s="228"/>
      <c r="AG88" s="126">
        <f>COUNTA(R88:AC88)*7</f>
        <v>0</v>
      </c>
    </row>
    <row r="89" spans="1:33" x14ac:dyDescent="0.25">
      <c r="A89" s="92"/>
      <c r="B89" s="287" t="s">
        <v>323</v>
      </c>
      <c r="C89" s="288"/>
      <c r="D89" s="288"/>
      <c r="E89" s="288"/>
      <c r="F89" s="288"/>
      <c r="G89" s="288"/>
      <c r="H89" s="142">
        <f>IF(A89="*", $AZ$18, 0)</f>
        <v>0</v>
      </c>
      <c r="I89" s="291"/>
      <c r="J89" s="275"/>
      <c r="K89" s="227"/>
      <c r="L89" s="227"/>
      <c r="M89" s="227"/>
      <c r="N89" s="227"/>
      <c r="O89" s="133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140"/>
      <c r="AE89" s="228">
        <f>IF(I89+H89=0, VLOOKUP(0, DATA!$M$28:$Z$40, P89+I89+H89+1, FALSE), VLOOKUP(I89+H89, DATA!$M$28:$Z$40, P89+I89+H89+1, FALSE))+AG89</f>
        <v>0</v>
      </c>
      <c r="AF89" s="228"/>
      <c r="AG89" s="126">
        <f>COUNTA(R89:AC89)*7</f>
        <v>0</v>
      </c>
    </row>
    <row r="90" spans="1:33" x14ac:dyDescent="0.25">
      <c r="A90" s="294" t="s">
        <v>195</v>
      </c>
      <c r="B90" s="295"/>
      <c r="C90" s="295"/>
      <c r="D90" s="295"/>
      <c r="E90" s="295"/>
      <c r="F90" s="295"/>
      <c r="G90" s="295"/>
      <c r="H90" s="295"/>
      <c r="I90" s="295"/>
      <c r="J90" s="296"/>
      <c r="K90" s="133"/>
      <c r="L90" s="133"/>
      <c r="M90" s="133"/>
      <c r="N90" s="133"/>
      <c r="O90" s="133"/>
      <c r="P90" s="265"/>
      <c r="Q90" s="265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278"/>
      <c r="AF90" s="278"/>
      <c r="AG90" s="126"/>
    </row>
    <row r="91" spans="1:33" x14ac:dyDescent="0.25">
      <c r="A91" s="92"/>
      <c r="B91" s="287" t="s">
        <v>336</v>
      </c>
      <c r="C91" s="288"/>
      <c r="D91" s="288"/>
      <c r="E91" s="288"/>
      <c r="F91" s="288"/>
      <c r="G91" s="288"/>
      <c r="H91" s="142">
        <f>IF(A91="*", $AZ$18, 0)</f>
        <v>0</v>
      </c>
      <c r="I91" s="291"/>
      <c r="J91" s="275"/>
      <c r="K91" s="227"/>
      <c r="L91" s="227"/>
      <c r="M91" s="227"/>
      <c r="N91" s="227"/>
      <c r="O91" s="133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140"/>
      <c r="AE91" s="228">
        <f>IF(I91+H91=0, VLOOKUP(0, DATA!$M$28:$Z$40, P91+I91+H91+1, FALSE), VLOOKUP(I91+H91, DATA!$M$28:$Z$40, P91+I91+H91+1, FALSE))+AG91</f>
        <v>0</v>
      </c>
      <c r="AF91" s="228"/>
      <c r="AG91" s="126">
        <f>COUNTA(R91:AC91)*7</f>
        <v>0</v>
      </c>
    </row>
    <row r="92" spans="1:33" x14ac:dyDescent="0.25">
      <c r="A92" s="92"/>
      <c r="B92" s="287" t="s">
        <v>337</v>
      </c>
      <c r="C92" s="288"/>
      <c r="D92" s="288"/>
      <c r="E92" s="288"/>
      <c r="F92" s="288"/>
      <c r="G92" s="288"/>
      <c r="H92" s="142">
        <f>IF(A92="*", $AZ$18, 0)</f>
        <v>0</v>
      </c>
      <c r="I92" s="291"/>
      <c r="J92" s="275"/>
      <c r="K92" s="300"/>
      <c r="L92" s="300"/>
      <c r="M92" s="300"/>
      <c r="N92" s="300"/>
      <c r="O92" s="133"/>
      <c r="P92" s="268"/>
      <c r="Q92" s="268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140"/>
      <c r="AE92" s="228">
        <f>IF(I92+H92=0, VLOOKUP(0, DATA!$M$28:$Z$40, P92+I92+H92+1, FALSE), VLOOKUP(I92+H92, DATA!$M$28:$Z$40, P92+I92+H92+1, FALSE))+AG92</f>
        <v>0</v>
      </c>
      <c r="AF92" s="228"/>
      <c r="AG92" s="126">
        <f t="shared" ref="AG92:AG93" si="9">COUNTA(R92:AC92)*7</f>
        <v>0</v>
      </c>
    </row>
    <row r="93" spans="1:33" x14ac:dyDescent="0.25">
      <c r="A93" s="92"/>
      <c r="B93" s="287" t="s">
        <v>338</v>
      </c>
      <c r="C93" s="288"/>
      <c r="D93" s="288"/>
      <c r="E93" s="288"/>
      <c r="F93" s="288"/>
      <c r="G93" s="288"/>
      <c r="H93" s="142">
        <f>IF(A93="*", $AZ$18, 0)</f>
        <v>0</v>
      </c>
      <c r="I93" s="291"/>
      <c r="J93" s="275"/>
      <c r="K93" s="227"/>
      <c r="L93" s="227"/>
      <c r="M93" s="227"/>
      <c r="N93" s="227"/>
      <c r="O93" s="133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140"/>
      <c r="AE93" s="228">
        <f>IF(I93+H93=0, VLOOKUP(0, DATA!$M$28:$Z$40, P93+I93+H93+1, FALSE), VLOOKUP(I93+H93, DATA!$M$28:$Z$40, P93+I93+H93+1, FALSE))+AG93</f>
        <v>0</v>
      </c>
      <c r="AF93" s="228"/>
      <c r="AG93" s="126">
        <f t="shared" si="9"/>
        <v>0</v>
      </c>
    </row>
    <row r="94" spans="1:33" x14ac:dyDescent="0.25">
      <c r="A94" s="294" t="s">
        <v>99</v>
      </c>
      <c r="B94" s="295"/>
      <c r="C94" s="295"/>
      <c r="D94" s="295"/>
      <c r="E94" s="295"/>
      <c r="F94" s="295"/>
      <c r="G94" s="295"/>
      <c r="H94" s="295"/>
      <c r="I94" s="295"/>
      <c r="J94" s="295"/>
      <c r="K94" s="133"/>
      <c r="L94" s="133"/>
      <c r="M94" s="133"/>
      <c r="N94" s="133"/>
      <c r="O94" s="133"/>
      <c r="P94" s="265"/>
      <c r="Q94" s="265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278"/>
      <c r="AF94" s="278"/>
      <c r="AG94" s="126"/>
    </row>
    <row r="95" spans="1:33" x14ac:dyDescent="0.25">
      <c r="A95" s="92"/>
      <c r="B95" s="287" t="s">
        <v>324</v>
      </c>
      <c r="C95" s="288"/>
      <c r="D95" s="288"/>
      <c r="E95" s="288"/>
      <c r="F95" s="288"/>
      <c r="G95" s="288"/>
      <c r="H95" s="142">
        <f t="shared" ref="H95:H100" si="10">IF(A95="*", $AZ$18, 0)</f>
        <v>0</v>
      </c>
      <c r="I95" s="291"/>
      <c r="J95" s="275"/>
      <c r="K95" s="227"/>
      <c r="L95" s="227"/>
      <c r="M95" s="227"/>
      <c r="N95" s="227"/>
      <c r="O95" s="133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140"/>
      <c r="AE95" s="228">
        <f>IF(I95+H95=0, VLOOKUP(0, DATA!$M$28:$Z$40, P95+I95+H95+1, FALSE), VLOOKUP(I95+H95, DATA!$M$28:$Z$40, P95+I95+H95+1, FALSE))+AG95</f>
        <v>0</v>
      </c>
      <c r="AF95" s="228"/>
      <c r="AG95" s="126">
        <f t="shared" ref="AG95:AG100" si="11">COUNTA(R95:AC95)*7</f>
        <v>0</v>
      </c>
    </row>
    <row r="96" spans="1:33" x14ac:dyDescent="0.25">
      <c r="A96" s="92"/>
      <c r="B96" s="287" t="s">
        <v>325</v>
      </c>
      <c r="C96" s="288"/>
      <c r="D96" s="288"/>
      <c r="E96" s="288"/>
      <c r="F96" s="288"/>
      <c r="G96" s="288"/>
      <c r="H96" s="142">
        <f t="shared" si="10"/>
        <v>0</v>
      </c>
      <c r="I96" s="291"/>
      <c r="J96" s="275"/>
      <c r="K96" s="299"/>
      <c r="L96" s="299"/>
      <c r="M96" s="299"/>
      <c r="N96" s="299"/>
      <c r="O96" s="133"/>
      <c r="P96" s="268"/>
      <c r="Q96" s="26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140"/>
      <c r="AE96" s="228">
        <f>IF(I96+H96=0, VLOOKUP(0, DATA!$M$28:$Z$40, P96+I96+H96+1, FALSE), VLOOKUP(I96+H96, DATA!$M$28:$Z$40, P96+I96+H96+1, FALSE))+AG96</f>
        <v>0</v>
      </c>
      <c r="AF96" s="228"/>
      <c r="AG96" s="126">
        <f t="shared" si="11"/>
        <v>0</v>
      </c>
    </row>
    <row r="97" spans="1:33" x14ac:dyDescent="0.25">
      <c r="A97" s="92"/>
      <c r="B97" s="287" t="s">
        <v>326</v>
      </c>
      <c r="C97" s="288"/>
      <c r="D97" s="288"/>
      <c r="E97" s="288"/>
      <c r="F97" s="288"/>
      <c r="G97" s="288"/>
      <c r="H97" s="142">
        <f t="shared" si="10"/>
        <v>0</v>
      </c>
      <c r="I97" s="291"/>
      <c r="J97" s="275"/>
      <c r="K97" s="227"/>
      <c r="L97" s="227"/>
      <c r="M97" s="227"/>
      <c r="N97" s="227"/>
      <c r="O97" s="133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140"/>
      <c r="AE97" s="228">
        <f>IF(I97+H97=0, VLOOKUP(0, DATA!$M$28:$Z$40, P97+I97+H97+1, FALSE), VLOOKUP(I97+H97, DATA!$M$28:$Z$40, P97+I97+H97+1, FALSE))+AG97</f>
        <v>0</v>
      </c>
      <c r="AF97" s="228"/>
      <c r="AG97" s="126">
        <f t="shared" si="11"/>
        <v>0</v>
      </c>
    </row>
    <row r="98" spans="1:33" x14ac:dyDescent="0.25">
      <c r="A98" s="92"/>
      <c r="B98" s="287" t="s">
        <v>327</v>
      </c>
      <c r="C98" s="288"/>
      <c r="D98" s="288"/>
      <c r="E98" s="288"/>
      <c r="F98" s="288"/>
      <c r="G98" s="288"/>
      <c r="H98" s="142">
        <f t="shared" si="10"/>
        <v>0</v>
      </c>
      <c r="I98" s="291"/>
      <c r="J98" s="275"/>
      <c r="K98" s="227"/>
      <c r="L98" s="227"/>
      <c r="M98" s="227"/>
      <c r="N98" s="227"/>
      <c r="O98" s="133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140"/>
      <c r="AE98" s="228">
        <f>IF(I98+H98=0, VLOOKUP(0, DATA!$M$28:$Z$40, P98+I98+H98+1, FALSE), VLOOKUP(I98+H98, DATA!$M$28:$Z$40, P98+I98+H98+1, FALSE))+AG98</f>
        <v>0</v>
      </c>
      <c r="AF98" s="228"/>
      <c r="AG98" s="126">
        <f t="shared" si="11"/>
        <v>0</v>
      </c>
    </row>
    <row r="99" spans="1:33" x14ac:dyDescent="0.25">
      <c r="A99" s="92"/>
      <c r="B99" s="287" t="s">
        <v>328</v>
      </c>
      <c r="C99" s="288"/>
      <c r="D99" s="288"/>
      <c r="E99" s="288"/>
      <c r="F99" s="288"/>
      <c r="G99" s="288"/>
      <c r="H99" s="142">
        <f t="shared" si="10"/>
        <v>0</v>
      </c>
      <c r="I99" s="291"/>
      <c r="J99" s="275"/>
      <c r="K99" s="227"/>
      <c r="L99" s="227"/>
      <c r="M99" s="227"/>
      <c r="N99" s="227"/>
      <c r="O99" s="133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140"/>
      <c r="AE99" s="228">
        <f>IF(I99+H99=0, VLOOKUP(0, DATA!$M$28:$Z$40, P99+I99+H99+1, FALSE), VLOOKUP(I99+H99, DATA!$M$28:$Z$40, P99+I99+H99+1, FALSE))+AG99</f>
        <v>0</v>
      </c>
      <c r="AF99" s="228"/>
      <c r="AG99" s="126">
        <f t="shared" si="11"/>
        <v>0</v>
      </c>
    </row>
    <row r="100" spans="1:33" x14ac:dyDescent="0.25">
      <c r="A100" s="92"/>
      <c r="B100" s="287" t="s">
        <v>329</v>
      </c>
      <c r="C100" s="288"/>
      <c r="D100" s="288"/>
      <c r="E100" s="288"/>
      <c r="F100" s="288"/>
      <c r="G100" s="288"/>
      <c r="H100" s="142">
        <f t="shared" si="10"/>
        <v>0</v>
      </c>
      <c r="I100" s="291"/>
      <c r="J100" s="275"/>
      <c r="K100" s="227"/>
      <c r="L100" s="227"/>
      <c r="M100" s="227"/>
      <c r="N100" s="227"/>
      <c r="O100" s="133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140"/>
      <c r="AE100" s="228">
        <f>IF(I100+H100=0, VLOOKUP(0, DATA!$M$28:$Z$40, P100+I100+H100+1, FALSE), VLOOKUP(I100+H100, DATA!$M$28:$Z$40, P100+I100+H100+1, FALSE))+AG100</f>
        <v>0</v>
      </c>
      <c r="AF100" s="228"/>
      <c r="AG100" s="126">
        <f t="shared" si="11"/>
        <v>0</v>
      </c>
    </row>
    <row r="101" spans="1:33" x14ac:dyDescent="0.25">
      <c r="A101" s="294" t="s">
        <v>194</v>
      </c>
      <c r="B101" s="295"/>
      <c r="C101" s="295"/>
      <c r="D101" s="295"/>
      <c r="E101" s="295"/>
      <c r="F101" s="295"/>
      <c r="G101" s="295"/>
      <c r="H101" s="295"/>
      <c r="I101" s="295"/>
      <c r="J101" s="296"/>
      <c r="K101" s="133"/>
      <c r="L101" s="133"/>
      <c r="M101" s="133"/>
      <c r="N101" s="133"/>
      <c r="O101" s="133"/>
      <c r="P101" s="265"/>
      <c r="Q101" s="265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278"/>
      <c r="AF101" s="278"/>
      <c r="AG101" s="126"/>
    </row>
    <row r="102" spans="1:33" x14ac:dyDescent="0.25">
      <c r="A102" s="92"/>
      <c r="B102" s="287" t="s">
        <v>330</v>
      </c>
      <c r="C102" s="288"/>
      <c r="D102" s="288"/>
      <c r="E102" s="288"/>
      <c r="F102" s="288"/>
      <c r="G102" s="288"/>
      <c r="H102" s="142">
        <f>IF(A102="*", $AZ$18, 0)</f>
        <v>0</v>
      </c>
      <c r="I102" s="291"/>
      <c r="J102" s="275"/>
      <c r="K102" s="227"/>
      <c r="L102" s="227"/>
      <c r="M102" s="227"/>
      <c r="N102" s="227"/>
      <c r="O102" s="133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140"/>
      <c r="AE102" s="228">
        <f>IF(I102+H102=0, VLOOKUP(0, DATA!$M$28:$Z$40, P102+I102+H102+1, FALSE), VLOOKUP(I102+H102, DATA!$M$28:$Z$40, P102+I102+H102+1, FALSE))+AG102</f>
        <v>0</v>
      </c>
      <c r="AF102" s="228"/>
      <c r="AG102" s="126">
        <f t="shared" ref="AG102" si="12">COUNTA(R102:AC102)*7</f>
        <v>0</v>
      </c>
    </row>
  </sheetData>
  <mergeCells count="710">
    <mergeCell ref="I24:J24"/>
    <mergeCell ref="A18:F18"/>
    <mergeCell ref="A22:F22"/>
    <mergeCell ref="I18:J18"/>
    <mergeCell ref="I32:J32"/>
    <mergeCell ref="I31:J31"/>
    <mergeCell ref="I23:J23"/>
    <mergeCell ref="I30:J30"/>
    <mergeCell ref="I26:J26"/>
    <mergeCell ref="I25:J25"/>
    <mergeCell ref="I29:J29"/>
    <mergeCell ref="B25:G25"/>
    <mergeCell ref="B24:G24"/>
    <mergeCell ref="B23:G23"/>
    <mergeCell ref="B21:G21"/>
    <mergeCell ref="B20:G20"/>
    <mergeCell ref="B19:G19"/>
    <mergeCell ref="A26:F26"/>
    <mergeCell ref="I21:J21"/>
    <mergeCell ref="I20:J20"/>
    <mergeCell ref="I19:J19"/>
    <mergeCell ref="I22:J22"/>
    <mergeCell ref="R8:U8"/>
    <mergeCell ref="V8:Y8"/>
    <mergeCell ref="I5:J5"/>
    <mergeCell ref="R11:U11"/>
    <mergeCell ref="R12:U12"/>
    <mergeCell ref="R13:U13"/>
    <mergeCell ref="K15:N15"/>
    <mergeCell ref="R15:U15"/>
    <mergeCell ref="K6:N6"/>
    <mergeCell ref="R6:AC6"/>
    <mergeCell ref="I6:J6"/>
    <mergeCell ref="I13:J13"/>
    <mergeCell ref="I12:J12"/>
    <mergeCell ref="I11:J11"/>
    <mergeCell ref="I9:J9"/>
    <mergeCell ref="I8:J8"/>
    <mergeCell ref="P6:Q6"/>
    <mergeCell ref="P7:Q7"/>
    <mergeCell ref="P8:Q8"/>
    <mergeCell ref="P9:Q9"/>
    <mergeCell ref="P10:Q10"/>
    <mergeCell ref="P11:Q11"/>
    <mergeCell ref="P12:Q12"/>
    <mergeCell ref="P13:Q13"/>
    <mergeCell ref="Z21:AC21"/>
    <mergeCell ref="V23:Y23"/>
    <mergeCell ref="Z23:AC23"/>
    <mergeCell ref="P14:Q14"/>
    <mergeCell ref="P15:Q15"/>
    <mergeCell ref="P16:Q16"/>
    <mergeCell ref="R19:U19"/>
    <mergeCell ref="V19:Y19"/>
    <mergeCell ref="Z19:AC19"/>
    <mergeCell ref="R16:U16"/>
    <mergeCell ref="R17:U17"/>
    <mergeCell ref="V11:Y11"/>
    <mergeCell ref="Z11:AC11"/>
    <mergeCell ref="V12:Y12"/>
    <mergeCell ref="Z12:AC12"/>
    <mergeCell ref="V13:Y13"/>
    <mergeCell ref="V15:Y15"/>
    <mergeCell ref="Z15:AC15"/>
    <mergeCell ref="Z13:AC13"/>
    <mergeCell ref="Z16:AC16"/>
    <mergeCell ref="B33:G33"/>
    <mergeCell ref="B32:G32"/>
    <mergeCell ref="B31:G31"/>
    <mergeCell ref="B29:G29"/>
    <mergeCell ref="B28:G28"/>
    <mergeCell ref="B27:G27"/>
    <mergeCell ref="P26:Q26"/>
    <mergeCell ref="P27:Q27"/>
    <mergeCell ref="P28:Q28"/>
    <mergeCell ref="A30:F30"/>
    <mergeCell ref="I28:J28"/>
    <mergeCell ref="I27:J27"/>
    <mergeCell ref="I33:J33"/>
    <mergeCell ref="K21:N21"/>
    <mergeCell ref="R21:U21"/>
    <mergeCell ref="K23:N23"/>
    <mergeCell ref="R23:U23"/>
    <mergeCell ref="V28:Y28"/>
    <mergeCell ref="K24:N24"/>
    <mergeCell ref="R24:U24"/>
    <mergeCell ref="K25:N25"/>
    <mergeCell ref="R25:U25"/>
    <mergeCell ref="V25:Y25"/>
    <mergeCell ref="V24:Y24"/>
    <mergeCell ref="V21:Y21"/>
    <mergeCell ref="Z25:AC25"/>
    <mergeCell ref="V27:Y27"/>
    <mergeCell ref="Z27:AC27"/>
    <mergeCell ref="Z31:AC31"/>
    <mergeCell ref="K32:N32"/>
    <mergeCell ref="R32:U32"/>
    <mergeCell ref="V32:Y32"/>
    <mergeCell ref="Z32:AC32"/>
    <mergeCell ref="P29:Q29"/>
    <mergeCell ref="P30:Q30"/>
    <mergeCell ref="P31:Q31"/>
    <mergeCell ref="P32:Q32"/>
    <mergeCell ref="V31:Y31"/>
    <mergeCell ref="K27:N27"/>
    <mergeCell ref="R27:U27"/>
    <mergeCell ref="K28:N28"/>
    <mergeCell ref="R28:U28"/>
    <mergeCell ref="K31:N31"/>
    <mergeCell ref="R31:U31"/>
    <mergeCell ref="K29:N29"/>
    <mergeCell ref="R29:U29"/>
    <mergeCell ref="Z28:AC28"/>
    <mergeCell ref="P25:Q25"/>
    <mergeCell ref="V29:Y29"/>
    <mergeCell ref="Z33:AC33"/>
    <mergeCell ref="K35:N35"/>
    <mergeCell ref="R35:U35"/>
    <mergeCell ref="V35:Y35"/>
    <mergeCell ref="Z35:AC35"/>
    <mergeCell ref="Z29:AC29"/>
    <mergeCell ref="K36:N36"/>
    <mergeCell ref="R36:U36"/>
    <mergeCell ref="V36:Y36"/>
    <mergeCell ref="Z36:AC36"/>
    <mergeCell ref="P35:Q35"/>
    <mergeCell ref="P36:Q36"/>
    <mergeCell ref="P33:Q33"/>
    <mergeCell ref="P34:Q34"/>
    <mergeCell ref="K33:N33"/>
    <mergeCell ref="R33:U33"/>
    <mergeCell ref="V33:Y33"/>
    <mergeCell ref="R37:U37"/>
    <mergeCell ref="V37:Y37"/>
    <mergeCell ref="Z37:AC37"/>
    <mergeCell ref="K39:N39"/>
    <mergeCell ref="R39:U39"/>
    <mergeCell ref="V39:Y39"/>
    <mergeCell ref="Z39:AC39"/>
    <mergeCell ref="K40:N40"/>
    <mergeCell ref="R40:U40"/>
    <mergeCell ref="P37:Q37"/>
    <mergeCell ref="P38:Q38"/>
    <mergeCell ref="P39:Q39"/>
    <mergeCell ref="P40:Q40"/>
    <mergeCell ref="V40:Y40"/>
    <mergeCell ref="Z40:AC40"/>
    <mergeCell ref="K37:N37"/>
    <mergeCell ref="V44:Y44"/>
    <mergeCell ref="Z44:AC44"/>
    <mergeCell ref="R45:U45"/>
    <mergeCell ref="V45:Y45"/>
    <mergeCell ref="Z45:AC45"/>
    <mergeCell ref="K47:N47"/>
    <mergeCell ref="R41:U41"/>
    <mergeCell ref="R43:U43"/>
    <mergeCell ref="R44:U44"/>
    <mergeCell ref="R47:U47"/>
    <mergeCell ref="V47:Y47"/>
    <mergeCell ref="Z47:AC47"/>
    <mergeCell ref="P41:Q41"/>
    <mergeCell ref="P42:Q42"/>
    <mergeCell ref="P43:Q43"/>
    <mergeCell ref="P44:Q44"/>
    <mergeCell ref="V41:Y41"/>
    <mergeCell ref="Z41:AC41"/>
    <mergeCell ref="V43:Y43"/>
    <mergeCell ref="Z43:AC43"/>
    <mergeCell ref="K43:N43"/>
    <mergeCell ref="K44:N44"/>
    <mergeCell ref="K41:N41"/>
    <mergeCell ref="Z57:AC57"/>
    <mergeCell ref="R58:U58"/>
    <mergeCell ref="V58:Y58"/>
    <mergeCell ref="Z58:AC58"/>
    <mergeCell ref="R60:U60"/>
    <mergeCell ref="V60:Y60"/>
    <mergeCell ref="Z60:AC60"/>
    <mergeCell ref="K53:N53"/>
    <mergeCell ref="P53:Q53"/>
    <mergeCell ref="P54:Q54"/>
    <mergeCell ref="P55:Q55"/>
    <mergeCell ref="P56:Q56"/>
    <mergeCell ref="K57:N57"/>
    <mergeCell ref="K58:N58"/>
    <mergeCell ref="P57:Q57"/>
    <mergeCell ref="P58:Q58"/>
    <mergeCell ref="V57:Y57"/>
    <mergeCell ref="Z61:AC61"/>
    <mergeCell ref="K62:N62"/>
    <mergeCell ref="R62:U62"/>
    <mergeCell ref="V62:Y62"/>
    <mergeCell ref="Z62:AC62"/>
    <mergeCell ref="K64:N64"/>
    <mergeCell ref="R64:U64"/>
    <mergeCell ref="V64:Y64"/>
    <mergeCell ref="Z64:AC64"/>
    <mergeCell ref="P61:Q61"/>
    <mergeCell ref="P62:Q62"/>
    <mergeCell ref="P63:Q63"/>
    <mergeCell ref="P64:Q64"/>
    <mergeCell ref="K61:N61"/>
    <mergeCell ref="R61:U61"/>
    <mergeCell ref="V61:Y61"/>
    <mergeCell ref="R65:U65"/>
    <mergeCell ref="V65:Y65"/>
    <mergeCell ref="Z65:AC65"/>
    <mergeCell ref="K66:N66"/>
    <mergeCell ref="R66:U66"/>
    <mergeCell ref="V66:Y66"/>
    <mergeCell ref="Z66:AC66"/>
    <mergeCell ref="K68:N68"/>
    <mergeCell ref="R68:U68"/>
    <mergeCell ref="V68:Y68"/>
    <mergeCell ref="Z68:AC68"/>
    <mergeCell ref="P65:Q65"/>
    <mergeCell ref="P66:Q66"/>
    <mergeCell ref="P67:Q67"/>
    <mergeCell ref="P68:Q68"/>
    <mergeCell ref="R69:U69"/>
    <mergeCell ref="V69:Y69"/>
    <mergeCell ref="Z69:AC69"/>
    <mergeCell ref="K70:N70"/>
    <mergeCell ref="R70:U70"/>
    <mergeCell ref="V70:Y70"/>
    <mergeCell ref="Z70:AC70"/>
    <mergeCell ref="K71:N71"/>
    <mergeCell ref="R71:U71"/>
    <mergeCell ref="V71:Y71"/>
    <mergeCell ref="Z71:AC71"/>
    <mergeCell ref="P70:Q70"/>
    <mergeCell ref="P71:Q71"/>
    <mergeCell ref="P69:Q69"/>
    <mergeCell ref="R72:U72"/>
    <mergeCell ref="V72:Y72"/>
    <mergeCell ref="Z72:AC72"/>
    <mergeCell ref="K73:N73"/>
    <mergeCell ref="R73:U73"/>
    <mergeCell ref="V73:Y73"/>
    <mergeCell ref="Z73:AC73"/>
    <mergeCell ref="K74:N74"/>
    <mergeCell ref="R74:U74"/>
    <mergeCell ref="V74:Y74"/>
    <mergeCell ref="P72:Q72"/>
    <mergeCell ref="P73:Q73"/>
    <mergeCell ref="P74:Q74"/>
    <mergeCell ref="Z74:AC74"/>
    <mergeCell ref="Z75:AC75"/>
    <mergeCell ref="Z77:AC77"/>
    <mergeCell ref="Z78:AC78"/>
    <mergeCell ref="P78:Q78"/>
    <mergeCell ref="K80:N80"/>
    <mergeCell ref="R80:U80"/>
    <mergeCell ref="V80:Y80"/>
    <mergeCell ref="Z80:AC80"/>
    <mergeCell ref="K81:N81"/>
    <mergeCell ref="R81:U81"/>
    <mergeCell ref="V81:Y81"/>
    <mergeCell ref="Z81:AC81"/>
    <mergeCell ref="K75:N75"/>
    <mergeCell ref="R75:U75"/>
    <mergeCell ref="V75:Y75"/>
    <mergeCell ref="K77:N77"/>
    <mergeCell ref="R77:U77"/>
    <mergeCell ref="V77:Y77"/>
    <mergeCell ref="K78:N78"/>
    <mergeCell ref="R78:U78"/>
    <mergeCell ref="V78:Y78"/>
    <mergeCell ref="P75:Q75"/>
    <mergeCell ref="P76:Q76"/>
    <mergeCell ref="P77:Q77"/>
    <mergeCell ref="R82:U82"/>
    <mergeCell ref="V82:Y82"/>
    <mergeCell ref="Z82:AC82"/>
    <mergeCell ref="K83:N83"/>
    <mergeCell ref="R83:U83"/>
    <mergeCell ref="V83:Y83"/>
    <mergeCell ref="Z83:AC83"/>
    <mergeCell ref="K84:N84"/>
    <mergeCell ref="R84:U84"/>
    <mergeCell ref="V84:Y84"/>
    <mergeCell ref="Z84:AC84"/>
    <mergeCell ref="R85:U85"/>
    <mergeCell ref="V85:Y85"/>
    <mergeCell ref="Z85:AC85"/>
    <mergeCell ref="K87:N87"/>
    <mergeCell ref="R87:U87"/>
    <mergeCell ref="V87:Y87"/>
    <mergeCell ref="Z87:AC87"/>
    <mergeCell ref="K88:N88"/>
    <mergeCell ref="R88:U88"/>
    <mergeCell ref="V88:Y88"/>
    <mergeCell ref="Z88:AC88"/>
    <mergeCell ref="P86:Q86"/>
    <mergeCell ref="P87:Q87"/>
    <mergeCell ref="R89:U89"/>
    <mergeCell ref="V89:Y89"/>
    <mergeCell ref="Z89:AC89"/>
    <mergeCell ref="P88:Q88"/>
    <mergeCell ref="P89:Q89"/>
    <mergeCell ref="K95:N95"/>
    <mergeCell ref="R95:U95"/>
    <mergeCell ref="V95:Y95"/>
    <mergeCell ref="Z95:AC95"/>
    <mergeCell ref="R91:U91"/>
    <mergeCell ref="V91:Y91"/>
    <mergeCell ref="Z91:AC91"/>
    <mergeCell ref="K92:N92"/>
    <mergeCell ref="R92:U92"/>
    <mergeCell ref="V92:Y92"/>
    <mergeCell ref="Z92:AC92"/>
    <mergeCell ref="K93:N93"/>
    <mergeCell ref="R93:U93"/>
    <mergeCell ref="V93:Y93"/>
    <mergeCell ref="Z93:AC93"/>
    <mergeCell ref="P90:Q90"/>
    <mergeCell ref="P91:Q91"/>
    <mergeCell ref="P92:Q92"/>
    <mergeCell ref="P93:Q93"/>
    <mergeCell ref="R100:U100"/>
    <mergeCell ref="V100:Y100"/>
    <mergeCell ref="Z100:AC100"/>
    <mergeCell ref="K102:N102"/>
    <mergeCell ref="R102:U102"/>
    <mergeCell ref="V102:Y102"/>
    <mergeCell ref="Z102:AC102"/>
    <mergeCell ref="K97:N97"/>
    <mergeCell ref="R97:U97"/>
    <mergeCell ref="V97:Y97"/>
    <mergeCell ref="Z97:AC97"/>
    <mergeCell ref="K98:N98"/>
    <mergeCell ref="R98:U98"/>
    <mergeCell ref="V98:Y98"/>
    <mergeCell ref="Z98:AC98"/>
    <mergeCell ref="K99:N99"/>
    <mergeCell ref="R99:U99"/>
    <mergeCell ref="V99:Y99"/>
    <mergeCell ref="Z99:AC99"/>
    <mergeCell ref="P101:Q101"/>
    <mergeCell ref="K100:N100"/>
    <mergeCell ref="P102:Q102"/>
    <mergeCell ref="K96:N96"/>
    <mergeCell ref="K89:N89"/>
    <mergeCell ref="K85:N85"/>
    <mergeCell ref="K82:N82"/>
    <mergeCell ref="K72:N72"/>
    <mergeCell ref="K69:N69"/>
    <mergeCell ref="K65:N65"/>
    <mergeCell ref="K60:N60"/>
    <mergeCell ref="K54:N54"/>
    <mergeCell ref="K56:N56"/>
    <mergeCell ref="K91:N91"/>
    <mergeCell ref="I39:J39"/>
    <mergeCell ref="I37:J37"/>
    <mergeCell ref="I51:J51"/>
    <mergeCell ref="A55:F55"/>
    <mergeCell ref="I54:J54"/>
    <mergeCell ref="I53:J53"/>
    <mergeCell ref="I55:J55"/>
    <mergeCell ref="I60:J60"/>
    <mergeCell ref="I58:J58"/>
    <mergeCell ref="I57:J57"/>
    <mergeCell ref="I36:J36"/>
    <mergeCell ref="I35:J35"/>
    <mergeCell ref="I38:J38"/>
    <mergeCell ref="I56:J56"/>
    <mergeCell ref="I46:J46"/>
    <mergeCell ref="I45:J45"/>
    <mergeCell ref="I44:J44"/>
    <mergeCell ref="I43:J43"/>
    <mergeCell ref="I68:J68"/>
    <mergeCell ref="I66:J66"/>
    <mergeCell ref="I40:J40"/>
    <mergeCell ref="I63:J63"/>
    <mergeCell ref="I65:J65"/>
    <mergeCell ref="A67:J67"/>
    <mergeCell ref="I62:J62"/>
    <mergeCell ref="A63:F63"/>
    <mergeCell ref="A59:F59"/>
    <mergeCell ref="I52:J52"/>
    <mergeCell ref="A38:F38"/>
    <mergeCell ref="A42:F42"/>
    <mergeCell ref="I59:J59"/>
    <mergeCell ref="B61:G61"/>
    <mergeCell ref="B60:G60"/>
    <mergeCell ref="B58:G58"/>
    <mergeCell ref="V9:Y9"/>
    <mergeCell ref="R9:U9"/>
    <mergeCell ref="B97:G97"/>
    <mergeCell ref="B96:G96"/>
    <mergeCell ref="B95:G95"/>
    <mergeCell ref="I73:J73"/>
    <mergeCell ref="B57:G57"/>
    <mergeCell ref="B56:G56"/>
    <mergeCell ref="B54:G54"/>
    <mergeCell ref="B65:G65"/>
    <mergeCell ref="B64:G64"/>
    <mergeCell ref="B62:G62"/>
    <mergeCell ref="B68:G68"/>
    <mergeCell ref="B66:G66"/>
    <mergeCell ref="B71:G71"/>
    <mergeCell ref="I72:J72"/>
    <mergeCell ref="I71:J71"/>
    <mergeCell ref="I70:J70"/>
    <mergeCell ref="I69:J69"/>
    <mergeCell ref="B70:G70"/>
    <mergeCell ref="B69:G69"/>
    <mergeCell ref="B92:G92"/>
    <mergeCell ref="B73:G73"/>
    <mergeCell ref="B72:G72"/>
    <mergeCell ref="I102:J102"/>
    <mergeCell ref="I100:J100"/>
    <mergeCell ref="I99:J99"/>
    <mergeCell ref="I41:J41"/>
    <mergeCell ref="A101:J101"/>
    <mergeCell ref="I64:J64"/>
    <mergeCell ref="I98:J98"/>
    <mergeCell ref="I49:J49"/>
    <mergeCell ref="I48:J48"/>
    <mergeCell ref="I47:J47"/>
    <mergeCell ref="I97:J97"/>
    <mergeCell ref="I96:J96"/>
    <mergeCell ref="I95:J95"/>
    <mergeCell ref="I93:J93"/>
    <mergeCell ref="I92:J92"/>
    <mergeCell ref="I91:J91"/>
    <mergeCell ref="I89:J89"/>
    <mergeCell ref="I88:J88"/>
    <mergeCell ref="I80:J80"/>
    <mergeCell ref="B75:G75"/>
    <mergeCell ref="I61:J61"/>
    <mergeCell ref="P97:Q97"/>
    <mergeCell ref="P23:Q23"/>
    <mergeCell ref="P24:Q24"/>
    <mergeCell ref="P79:Q79"/>
    <mergeCell ref="P80:Q80"/>
    <mergeCell ref="P81:Q81"/>
    <mergeCell ref="P82:Q82"/>
    <mergeCell ref="P83:Q83"/>
    <mergeCell ref="P84:Q84"/>
    <mergeCell ref="P85:Q85"/>
    <mergeCell ref="P94:Q94"/>
    <mergeCell ref="Z96:AC96"/>
    <mergeCell ref="B93:G93"/>
    <mergeCell ref="B91:G91"/>
    <mergeCell ref="B89:G89"/>
    <mergeCell ref="B88:G88"/>
    <mergeCell ref="B87:G87"/>
    <mergeCell ref="A90:J90"/>
    <mergeCell ref="K5:N5"/>
    <mergeCell ref="P4:AC4"/>
    <mergeCell ref="P5:Q5"/>
    <mergeCell ref="P95:Q95"/>
    <mergeCell ref="P96:Q96"/>
    <mergeCell ref="P17:Q17"/>
    <mergeCell ref="P18:Q18"/>
    <mergeCell ref="P19:Q19"/>
    <mergeCell ref="P20:Q20"/>
    <mergeCell ref="P21:Q21"/>
    <mergeCell ref="R5:AC5"/>
    <mergeCell ref="P22:Q22"/>
    <mergeCell ref="R96:U96"/>
    <mergeCell ref="Z7:AC7"/>
    <mergeCell ref="V7:Y7"/>
    <mergeCell ref="R7:U7"/>
    <mergeCell ref="Z8:AC8"/>
    <mergeCell ref="AE64:AF64"/>
    <mergeCell ref="AE63:AF63"/>
    <mergeCell ref="AE62:AF62"/>
    <mergeCell ref="AE61:AF61"/>
    <mergeCell ref="AE67:AF67"/>
    <mergeCell ref="AE68:AF68"/>
    <mergeCell ref="AE69:AF69"/>
    <mergeCell ref="Z9:AC9"/>
    <mergeCell ref="B102:G102"/>
    <mergeCell ref="B100:G100"/>
    <mergeCell ref="B99:G99"/>
    <mergeCell ref="B98:G98"/>
    <mergeCell ref="P99:Q99"/>
    <mergeCell ref="P98:Q98"/>
    <mergeCell ref="P100:Q100"/>
    <mergeCell ref="A94:J94"/>
    <mergeCell ref="B80:G80"/>
    <mergeCell ref="B78:G78"/>
    <mergeCell ref="B77:G77"/>
    <mergeCell ref="I85:J85"/>
    <mergeCell ref="I84:J84"/>
    <mergeCell ref="I83:J83"/>
    <mergeCell ref="I82:J82"/>
    <mergeCell ref="V96:Y96"/>
    <mergeCell ref="AE72:AF72"/>
    <mergeCell ref="AE73:AF73"/>
    <mergeCell ref="AE74:AF74"/>
    <mergeCell ref="AE75:AF75"/>
    <mergeCell ref="AE77:AF77"/>
    <mergeCell ref="AE78:AF78"/>
    <mergeCell ref="AE80:AF80"/>
    <mergeCell ref="AE66:AF66"/>
    <mergeCell ref="AE65:AF65"/>
    <mergeCell ref="AE99:AF99"/>
    <mergeCell ref="AE100:AF100"/>
    <mergeCell ref="AE102:AF102"/>
    <mergeCell ref="AE57:AF57"/>
    <mergeCell ref="AE56:AF56"/>
    <mergeCell ref="AE55:AF55"/>
    <mergeCell ref="AE76:AF76"/>
    <mergeCell ref="AE79:AF79"/>
    <mergeCell ref="AE101:AF101"/>
    <mergeCell ref="AE94:AF94"/>
    <mergeCell ref="AE90:AF90"/>
    <mergeCell ref="AE86:AF86"/>
    <mergeCell ref="AE88:AF88"/>
    <mergeCell ref="AE89:AF89"/>
    <mergeCell ref="AE91:AF91"/>
    <mergeCell ref="AE92:AF92"/>
    <mergeCell ref="AE93:AF93"/>
    <mergeCell ref="AE95:AF95"/>
    <mergeCell ref="AE96:AF96"/>
    <mergeCell ref="AE97:AF97"/>
    <mergeCell ref="AE98:AF98"/>
    <mergeCell ref="AE81:AF81"/>
    <mergeCell ref="AE82:AF82"/>
    <mergeCell ref="AE83:AF83"/>
    <mergeCell ref="AD1:AG1"/>
    <mergeCell ref="AH1:AI1"/>
    <mergeCell ref="AE4:AF4"/>
    <mergeCell ref="P2:Q2"/>
    <mergeCell ref="A2:E2"/>
    <mergeCell ref="F2:G2"/>
    <mergeCell ref="I2:L2"/>
    <mergeCell ref="M2:N2"/>
    <mergeCell ref="A1:B1"/>
    <mergeCell ref="C1:G1"/>
    <mergeCell ref="I1:K1"/>
    <mergeCell ref="L1:N1"/>
    <mergeCell ref="A4:O4"/>
    <mergeCell ref="AD2:AH2"/>
    <mergeCell ref="P1:S1"/>
    <mergeCell ref="T1:U1"/>
    <mergeCell ref="W1:Z1"/>
    <mergeCell ref="R2:U2"/>
    <mergeCell ref="W2:Z2"/>
    <mergeCell ref="AA1:AB1"/>
    <mergeCell ref="AA2:AB2"/>
    <mergeCell ref="A86:J86"/>
    <mergeCell ref="I81:J81"/>
    <mergeCell ref="I78:J78"/>
    <mergeCell ref="A79:J79"/>
    <mergeCell ref="A76:J76"/>
    <mergeCell ref="I87:J87"/>
    <mergeCell ref="AE60:AF60"/>
    <mergeCell ref="AE59:AF59"/>
    <mergeCell ref="AE58:AF58"/>
    <mergeCell ref="P60:Q60"/>
    <mergeCell ref="B74:G74"/>
    <mergeCell ref="I77:J77"/>
    <mergeCell ref="I75:J75"/>
    <mergeCell ref="I74:J74"/>
    <mergeCell ref="B85:G85"/>
    <mergeCell ref="B84:G84"/>
    <mergeCell ref="B83:G83"/>
    <mergeCell ref="B82:G82"/>
    <mergeCell ref="B81:G81"/>
    <mergeCell ref="AE84:AF84"/>
    <mergeCell ref="AE85:AF85"/>
    <mergeCell ref="AE87:AF87"/>
    <mergeCell ref="AE70:AF70"/>
    <mergeCell ref="AE71:AF71"/>
    <mergeCell ref="AE35:AF35"/>
    <mergeCell ref="AE34:AF34"/>
    <mergeCell ref="B43:G43"/>
    <mergeCell ref="B41:G41"/>
    <mergeCell ref="B40:G40"/>
    <mergeCell ref="I42:J42"/>
    <mergeCell ref="I34:J34"/>
    <mergeCell ref="A34:F34"/>
    <mergeCell ref="P59:Q59"/>
    <mergeCell ref="R53:U53"/>
    <mergeCell ref="V53:Y53"/>
    <mergeCell ref="Z53:AC53"/>
    <mergeCell ref="R54:U54"/>
    <mergeCell ref="V54:Y54"/>
    <mergeCell ref="Z54:AC54"/>
    <mergeCell ref="R56:U56"/>
    <mergeCell ref="V56:Y56"/>
    <mergeCell ref="Z56:AC56"/>
    <mergeCell ref="R57:U57"/>
    <mergeCell ref="AE52:AF52"/>
    <mergeCell ref="AE51:AF51"/>
    <mergeCell ref="AE50:AF50"/>
    <mergeCell ref="AE49:AF49"/>
    <mergeCell ref="AE48:AF48"/>
    <mergeCell ref="Z24:AC24"/>
    <mergeCell ref="AE54:AF54"/>
    <mergeCell ref="AE53:AF53"/>
    <mergeCell ref="AE37:AF37"/>
    <mergeCell ref="AE36:AF36"/>
    <mergeCell ref="B39:G39"/>
    <mergeCell ref="B37:G37"/>
    <mergeCell ref="B36:G36"/>
    <mergeCell ref="B35:G35"/>
    <mergeCell ref="B53:G53"/>
    <mergeCell ref="B52:G52"/>
    <mergeCell ref="B50:G50"/>
    <mergeCell ref="B49:G49"/>
    <mergeCell ref="B48:G48"/>
    <mergeCell ref="B47:G47"/>
    <mergeCell ref="B45:G45"/>
    <mergeCell ref="B44:G44"/>
    <mergeCell ref="AE44:AF44"/>
    <mergeCell ref="AE43:AF43"/>
    <mergeCell ref="AE42:AF42"/>
    <mergeCell ref="AE41:AF41"/>
    <mergeCell ref="AE40:AF40"/>
    <mergeCell ref="AE39:AF39"/>
    <mergeCell ref="AE38:AF38"/>
    <mergeCell ref="AE15:AF15"/>
    <mergeCell ref="AE20:AF20"/>
    <mergeCell ref="AE19:AF19"/>
    <mergeCell ref="AE18:AF18"/>
    <mergeCell ref="AE17:AF17"/>
    <mergeCell ref="K19:N19"/>
    <mergeCell ref="K16:N16"/>
    <mergeCell ref="I16:J16"/>
    <mergeCell ref="I15:J15"/>
    <mergeCell ref="K17:N17"/>
    <mergeCell ref="Z20:AC20"/>
    <mergeCell ref="K20:N20"/>
    <mergeCell ref="R20:U20"/>
    <mergeCell ref="V20:Y20"/>
    <mergeCell ref="V16:Y16"/>
    <mergeCell ref="V17:Y17"/>
    <mergeCell ref="Z17:AC17"/>
    <mergeCell ref="AE33:AF33"/>
    <mergeCell ref="AE32:AF32"/>
    <mergeCell ref="AE31:AF31"/>
    <mergeCell ref="AE30:AF30"/>
    <mergeCell ref="AE29:AF29"/>
    <mergeCell ref="AE28:AF28"/>
    <mergeCell ref="AE27:AF27"/>
    <mergeCell ref="AE5:AF5"/>
    <mergeCell ref="AE6:AF6"/>
    <mergeCell ref="AE8:AF8"/>
    <mergeCell ref="AE7:AF7"/>
    <mergeCell ref="AE10:AF10"/>
    <mergeCell ref="AE9:AF9"/>
    <mergeCell ref="AE23:AF23"/>
    <mergeCell ref="AE22:AF22"/>
    <mergeCell ref="AE21:AF21"/>
    <mergeCell ref="AE26:AF26"/>
    <mergeCell ref="AE25:AF25"/>
    <mergeCell ref="AE24:AF24"/>
    <mergeCell ref="AE14:AF14"/>
    <mergeCell ref="AE13:AF13"/>
    <mergeCell ref="AE12:AF12"/>
    <mergeCell ref="AE11:AF11"/>
    <mergeCell ref="AE16:AF16"/>
    <mergeCell ref="AE47:AF47"/>
    <mergeCell ref="AE46:AF46"/>
    <mergeCell ref="AE45:AF45"/>
    <mergeCell ref="A46:F46"/>
    <mergeCell ref="A51:F51"/>
    <mergeCell ref="Z49:AC49"/>
    <mergeCell ref="Z50:AC50"/>
    <mergeCell ref="K49:N49"/>
    <mergeCell ref="R49:U49"/>
    <mergeCell ref="V49:Y49"/>
    <mergeCell ref="K50:N50"/>
    <mergeCell ref="R50:U50"/>
    <mergeCell ref="V50:Y50"/>
    <mergeCell ref="P49:Q49"/>
    <mergeCell ref="P50:Q50"/>
    <mergeCell ref="P51:Q51"/>
    <mergeCell ref="I50:J50"/>
    <mergeCell ref="Z52:AC52"/>
    <mergeCell ref="R48:U48"/>
    <mergeCell ref="V48:Y48"/>
    <mergeCell ref="Z48:AC48"/>
    <mergeCell ref="P45:Q45"/>
    <mergeCell ref="P46:Q46"/>
    <mergeCell ref="P47:Q47"/>
    <mergeCell ref="P48:Q48"/>
    <mergeCell ref="K48:N48"/>
    <mergeCell ref="K45:N45"/>
    <mergeCell ref="K52:N52"/>
    <mergeCell ref="R52:U52"/>
    <mergeCell ref="V52:Y52"/>
    <mergeCell ref="P52:Q52"/>
    <mergeCell ref="A6:F6"/>
    <mergeCell ref="A10:F10"/>
    <mergeCell ref="B9:G9"/>
    <mergeCell ref="B8:G8"/>
    <mergeCell ref="B7:G7"/>
    <mergeCell ref="I7:J7"/>
    <mergeCell ref="K7:N7"/>
    <mergeCell ref="B17:G17"/>
    <mergeCell ref="B16:G16"/>
    <mergeCell ref="B15:G15"/>
    <mergeCell ref="B13:G13"/>
    <mergeCell ref="B12:G12"/>
    <mergeCell ref="B11:G11"/>
    <mergeCell ref="A14:F14"/>
    <mergeCell ref="K8:N8"/>
    <mergeCell ref="I10:J10"/>
    <mergeCell ref="K9:N9"/>
    <mergeCell ref="I14:J14"/>
    <mergeCell ref="I17:J17"/>
    <mergeCell ref="K11:N11"/>
    <mergeCell ref="K12:N12"/>
    <mergeCell ref="K13:N13"/>
  </mergeCells>
  <conditionalFormatting sqref="AR13:AR17">
    <cfRule type="cellIs" dxfId="9" priority="7" operator="equal">
      <formula>"x"</formula>
    </cfRule>
  </conditionalFormatting>
  <conditionalFormatting sqref="H68:H75 H77:H78 H80:H85 H87:H89 H91:H93 H95:H100 H102 H64:H66 H60:H62 H56:H58 H52:H54 H47:H50 H43:H45 H39:H41 H35:H37 H31:H33 H27:H29 H23:H25 H19:H21 H15:H17 H11:H13 H7:H9">
    <cfRule type="cellIs" dxfId="8" priority="4" operator="equal">
      <formula>0</formula>
    </cfRule>
  </conditionalFormatting>
  <conditionalFormatting sqref="H6">
    <cfRule type="cellIs" dxfId="7" priority="2" operator="equal">
      <formula>0</formula>
    </cfRule>
  </conditionalFormatting>
  <conditionalFormatting sqref="H63 H59 H55 H51 H46 H42 H38 H34 H30 H26 H22 H18 H14 H10">
    <cfRule type="cellIs" dxfId="6" priority="1" operator="equal">
      <formula>0</formula>
    </cfRule>
  </conditionalFormatting>
  <conditionalFormatting sqref="A7:A9 A11:A13 A15:A17 A19:A21 A23:A25 A27:A29 A31:A33 A35:A37 A39:A41 A43:A45 A47:A50 A52:A54 A56:A58 A60:A62 A64:A66 A68:A75 A77:A78 A80:A85 A87:A89 A91:A93 A95:A100 A102">
    <cfRule type="expression" dxfId="5" priority="34">
      <formula>IF(AND($AZ$18&gt;0, $AS$18&lt;$AR$18), TRUE, FALSE)</formula>
    </cfRule>
  </conditionalFormatting>
  <conditionalFormatting sqref="G6 G10 G14 G18 G22 G26 G30 G34 G38 G42 G46 G51 G55 G59 G63">
    <cfRule type="expression" dxfId="4" priority="56">
      <formula>IF(AND($BA$18&gt;0, $AT$18&lt;$AR$18), TRUE, FALSE)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workbookViewId="0">
      <pane ySplit="2" topLeftCell="A3" activePane="bottomLeft" state="frozen"/>
      <selection pane="bottomLeft" activeCell="D6" sqref="D6:G6"/>
    </sheetView>
  </sheetViews>
  <sheetFormatPr defaultColWidth="3.42578125" defaultRowHeight="15" x14ac:dyDescent="0.25"/>
  <cols>
    <col min="1" max="42" width="3.42578125" style="121"/>
    <col min="43" max="43" width="3.42578125" style="121" customWidth="1"/>
    <col min="44" max="16384" width="3.42578125" style="121"/>
  </cols>
  <sheetData>
    <row r="1" spans="1:43" s="124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12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12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12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12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129" t="s">
        <v>56</v>
      </c>
    </row>
    <row r="2" spans="1:43" s="124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12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12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12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129" t="s">
        <v>56</v>
      </c>
      <c r="AJ2" s="129" t="s">
        <v>56</v>
      </c>
    </row>
    <row r="3" spans="1:43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H3" s="121" t="e">
        <f>IF((('2. Attributes'!R12+'2. Attributes'!R11)*2)-(SUM(H7:H25)+COUNTA(J6:J25))=0, "", (('2. Attributes'!R12+'2. Attributes'!R11)*2)-(SUM(H7:H25)+COUNTA(J6:J25))&amp;" Free Knowledge Points Remaining")</f>
        <v>#N/A</v>
      </c>
      <c r="AO3" s="122"/>
      <c r="AP3" s="122"/>
      <c r="AQ3" s="123"/>
    </row>
    <row r="4" spans="1:43" x14ac:dyDescent="0.25">
      <c r="A4" s="297" t="s">
        <v>339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132"/>
      <c r="O4" s="297" t="s">
        <v>332</v>
      </c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130"/>
      <c r="AD4" s="133"/>
      <c r="AE4" s="133"/>
    </row>
    <row r="5" spans="1:43" x14ac:dyDescent="0.25">
      <c r="A5" s="226"/>
      <c r="B5" s="226"/>
      <c r="C5" s="226"/>
      <c r="D5" s="226"/>
      <c r="E5" s="226"/>
      <c r="F5" s="226"/>
      <c r="G5" s="226"/>
      <c r="H5" s="302" t="s">
        <v>333</v>
      </c>
      <c r="I5" s="303"/>
      <c r="J5" s="132"/>
      <c r="K5" s="132"/>
      <c r="L5" s="132"/>
      <c r="M5" s="132"/>
      <c r="N5" s="132"/>
      <c r="O5" s="279" t="s">
        <v>333</v>
      </c>
      <c r="P5" s="279"/>
      <c r="Q5" s="297" t="s">
        <v>334</v>
      </c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130"/>
      <c r="AD5" s="263" t="s">
        <v>232</v>
      </c>
      <c r="AE5" s="263"/>
      <c r="AF5" s="126"/>
    </row>
    <row r="6" spans="1:43" x14ac:dyDescent="0.25">
      <c r="A6" s="271" t="s">
        <v>341</v>
      </c>
      <c r="B6" s="271"/>
      <c r="C6" s="271"/>
      <c r="D6" s="227"/>
      <c r="E6" s="227"/>
      <c r="F6" s="227"/>
      <c r="G6" s="227"/>
      <c r="H6" s="305" t="s">
        <v>340</v>
      </c>
      <c r="I6" s="306"/>
      <c r="J6" s="227"/>
      <c r="K6" s="227"/>
      <c r="L6" s="227"/>
      <c r="M6" s="227"/>
      <c r="N6" s="133"/>
      <c r="O6" s="265"/>
      <c r="P6" s="265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140"/>
      <c r="AD6" s="228">
        <f>AF6</f>
        <v>0</v>
      </c>
      <c r="AE6" s="228"/>
      <c r="AF6" s="126">
        <f>COUNTA(Q6:AB6)*7</f>
        <v>0</v>
      </c>
    </row>
    <row r="7" spans="1:43" x14ac:dyDescent="0.25">
      <c r="A7" s="276"/>
      <c r="B7" s="276"/>
      <c r="C7" s="276"/>
      <c r="D7" s="276"/>
      <c r="E7" s="276"/>
      <c r="F7" s="276"/>
      <c r="G7" s="276"/>
      <c r="H7" s="291"/>
      <c r="I7" s="275"/>
      <c r="J7" s="227"/>
      <c r="K7" s="227"/>
      <c r="L7" s="227"/>
      <c r="M7" s="227"/>
      <c r="N7" s="133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140"/>
      <c r="AD7" s="228">
        <f>IF(ISBLANK(H7), VLOOKUP(0, DATA!$A$44:$M$55, O7+H7+1, FALSE), VLOOKUP(H7, DATA!$A$44:$M$55, O7+H7+1, FALSE))+AF7</f>
        <v>0</v>
      </c>
      <c r="AE7" s="228"/>
      <c r="AF7" s="126">
        <f t="shared" ref="AF7" si="0">COUNTA(Q7:AB7)*7</f>
        <v>0</v>
      </c>
    </row>
    <row r="8" spans="1:43" x14ac:dyDescent="0.25">
      <c r="A8" s="276"/>
      <c r="B8" s="276"/>
      <c r="C8" s="276"/>
      <c r="D8" s="276"/>
      <c r="E8" s="276"/>
      <c r="F8" s="276"/>
      <c r="G8" s="276"/>
      <c r="H8" s="291"/>
      <c r="I8" s="275"/>
      <c r="J8" s="227"/>
      <c r="K8" s="227"/>
      <c r="L8" s="227"/>
      <c r="M8" s="227"/>
      <c r="N8" s="133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140"/>
      <c r="AD8" s="228">
        <f>IF(ISBLANK(H8), VLOOKUP(0, DATA!$A$44:$M$55, O8+H8+1, FALSE), VLOOKUP(H8, DATA!$A$44:$M$55, O8+H8+1, FALSE))+AF8</f>
        <v>0</v>
      </c>
      <c r="AE8" s="228"/>
    </row>
    <row r="9" spans="1:43" x14ac:dyDescent="0.25">
      <c r="A9" s="276"/>
      <c r="B9" s="276"/>
      <c r="C9" s="276"/>
      <c r="D9" s="276"/>
      <c r="E9" s="276"/>
      <c r="F9" s="276"/>
      <c r="G9" s="276"/>
      <c r="H9" s="291"/>
      <c r="I9" s="275"/>
      <c r="J9" s="227"/>
      <c r="K9" s="227"/>
      <c r="L9" s="227"/>
      <c r="M9" s="227"/>
      <c r="N9" s="133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140"/>
      <c r="AD9" s="228">
        <f>IF(ISBLANK(H9), VLOOKUP(0, DATA!$A$44:$M$55, O9+H9+1, FALSE), VLOOKUP(H9, DATA!$A$44:$M$55, O9+H9+1, FALSE))+AF9</f>
        <v>0</v>
      </c>
      <c r="AE9" s="228"/>
    </row>
    <row r="10" spans="1:43" x14ac:dyDescent="0.25">
      <c r="A10" s="276"/>
      <c r="B10" s="276"/>
      <c r="C10" s="276"/>
      <c r="D10" s="276"/>
      <c r="E10" s="276"/>
      <c r="F10" s="276"/>
      <c r="G10" s="276"/>
      <c r="H10" s="291"/>
      <c r="I10" s="275"/>
      <c r="J10" s="227"/>
      <c r="K10" s="227"/>
      <c r="L10" s="227"/>
      <c r="M10" s="227"/>
      <c r="N10" s="133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140"/>
      <c r="AD10" s="228">
        <f>IF(ISBLANK(H10), VLOOKUP(0, DATA!$A$44:$M$55, O10+H10+1, FALSE), VLOOKUP(H10, DATA!$A$44:$M$55, O10+H10+1, FALSE))+AF10</f>
        <v>0</v>
      </c>
      <c r="AE10" s="228"/>
    </row>
    <row r="11" spans="1:43" x14ac:dyDescent="0.25">
      <c r="A11" s="276"/>
      <c r="B11" s="276"/>
      <c r="C11" s="276"/>
      <c r="D11" s="276"/>
      <c r="E11" s="276"/>
      <c r="F11" s="276"/>
      <c r="G11" s="276"/>
      <c r="H11" s="291"/>
      <c r="I11" s="275"/>
      <c r="J11" s="227"/>
      <c r="K11" s="227"/>
      <c r="L11" s="227"/>
      <c r="M11" s="227"/>
      <c r="N11" s="133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140"/>
      <c r="AD11" s="228">
        <f>IF(ISBLANK(H11), VLOOKUP(0, DATA!$A$44:$M$55, O11+H11+1, FALSE), VLOOKUP(H11, DATA!$A$44:$M$55, O11+H11+1, FALSE))+AF11</f>
        <v>0</v>
      </c>
      <c r="AE11" s="228"/>
    </row>
    <row r="12" spans="1:43" x14ac:dyDescent="0.25">
      <c r="A12" s="276"/>
      <c r="B12" s="276"/>
      <c r="C12" s="276"/>
      <c r="D12" s="276"/>
      <c r="E12" s="276"/>
      <c r="F12" s="276"/>
      <c r="G12" s="276"/>
      <c r="H12" s="291"/>
      <c r="I12" s="275"/>
      <c r="J12" s="227"/>
      <c r="K12" s="227"/>
      <c r="L12" s="227"/>
      <c r="M12" s="227"/>
      <c r="N12" s="133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140"/>
      <c r="AD12" s="228">
        <f>IF(ISBLANK(H12), VLOOKUP(0, DATA!$A$44:$M$55, O12+H12+1, FALSE), VLOOKUP(H12, DATA!$A$44:$M$55, O12+H12+1, FALSE))+AF12</f>
        <v>0</v>
      </c>
      <c r="AE12" s="228"/>
    </row>
    <row r="13" spans="1:43" x14ac:dyDescent="0.25">
      <c r="A13" s="276"/>
      <c r="B13" s="276"/>
      <c r="C13" s="276"/>
      <c r="D13" s="276"/>
      <c r="E13" s="276"/>
      <c r="F13" s="276"/>
      <c r="G13" s="276"/>
      <c r="H13" s="291"/>
      <c r="I13" s="275"/>
      <c r="J13" s="227"/>
      <c r="K13" s="227"/>
      <c r="L13" s="227"/>
      <c r="M13" s="227"/>
      <c r="N13" s="133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140"/>
      <c r="AD13" s="228">
        <f>IF(ISBLANK(H13), VLOOKUP(0, DATA!$A$44:$M$55, O13+H13+1, FALSE), VLOOKUP(H13, DATA!$A$44:$M$55, O13+H13+1, FALSE))+AF13</f>
        <v>0</v>
      </c>
      <c r="AE13" s="228"/>
    </row>
    <row r="14" spans="1:43" x14ac:dyDescent="0.25">
      <c r="A14" s="276"/>
      <c r="B14" s="276"/>
      <c r="C14" s="276"/>
      <c r="D14" s="276"/>
      <c r="E14" s="276"/>
      <c r="F14" s="276"/>
      <c r="G14" s="276"/>
      <c r="H14" s="291"/>
      <c r="I14" s="275"/>
      <c r="J14" s="227"/>
      <c r="K14" s="227"/>
      <c r="L14" s="227"/>
      <c r="M14" s="227"/>
      <c r="N14" s="133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140"/>
      <c r="AD14" s="228">
        <f>IF(ISBLANK(H14), VLOOKUP(0, DATA!$A$44:$M$55, O14+H14+1, FALSE), VLOOKUP(H14, DATA!$A$44:$M$55, O14+H14+1, FALSE))+AF14</f>
        <v>0</v>
      </c>
      <c r="AE14" s="228"/>
    </row>
    <row r="15" spans="1:43" x14ac:dyDescent="0.25">
      <c r="A15" s="276"/>
      <c r="B15" s="276"/>
      <c r="C15" s="276"/>
      <c r="D15" s="276"/>
      <c r="E15" s="276"/>
      <c r="F15" s="276"/>
      <c r="G15" s="276"/>
      <c r="H15" s="291"/>
      <c r="I15" s="275"/>
      <c r="J15" s="227"/>
      <c r="K15" s="227"/>
      <c r="L15" s="227"/>
      <c r="M15" s="227"/>
      <c r="N15" s="133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140"/>
      <c r="AD15" s="228">
        <f>IF(ISBLANK(H15), VLOOKUP(0, DATA!$A$44:$M$55, O15+H15+1, FALSE), VLOOKUP(H15, DATA!$A$44:$M$55, O15+H15+1, FALSE))+AF15</f>
        <v>0</v>
      </c>
      <c r="AE15" s="228"/>
    </row>
    <row r="16" spans="1:43" x14ac:dyDescent="0.25">
      <c r="A16" s="276"/>
      <c r="B16" s="276"/>
      <c r="C16" s="276"/>
      <c r="D16" s="276"/>
      <c r="E16" s="276"/>
      <c r="F16" s="276"/>
      <c r="G16" s="276"/>
      <c r="H16" s="291"/>
      <c r="I16" s="275"/>
      <c r="J16" s="227"/>
      <c r="K16" s="227"/>
      <c r="L16" s="227"/>
      <c r="M16" s="227"/>
      <c r="N16" s="133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140"/>
      <c r="AD16" s="228">
        <f>IF(ISBLANK(H16), VLOOKUP(0, DATA!$A$44:$M$55, O16+H16+1, FALSE), VLOOKUP(H16, DATA!$A$44:$M$55, O16+H16+1, FALSE))+AF16</f>
        <v>0</v>
      </c>
      <c r="AE16" s="228"/>
    </row>
    <row r="17" spans="1:31" x14ac:dyDescent="0.25">
      <c r="A17" s="276"/>
      <c r="B17" s="276"/>
      <c r="C17" s="276"/>
      <c r="D17" s="276"/>
      <c r="E17" s="276"/>
      <c r="F17" s="276"/>
      <c r="G17" s="276"/>
      <c r="H17" s="291"/>
      <c r="I17" s="275"/>
      <c r="J17" s="227"/>
      <c r="K17" s="227"/>
      <c r="L17" s="227"/>
      <c r="M17" s="227"/>
      <c r="N17" s="133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140"/>
      <c r="AD17" s="228">
        <f>IF(ISBLANK(H17), VLOOKUP(0, DATA!$A$44:$M$55, O17+H17+1, FALSE), VLOOKUP(H17, DATA!$A$44:$M$55, O17+H17+1, FALSE))+AF17</f>
        <v>0</v>
      </c>
      <c r="AE17" s="228"/>
    </row>
    <row r="18" spans="1:31" x14ac:dyDescent="0.25">
      <c r="A18" s="276"/>
      <c r="B18" s="276"/>
      <c r="C18" s="276"/>
      <c r="D18" s="276"/>
      <c r="E18" s="276"/>
      <c r="F18" s="276"/>
      <c r="G18" s="276"/>
      <c r="H18" s="291"/>
      <c r="I18" s="275"/>
      <c r="J18" s="227"/>
      <c r="K18" s="227"/>
      <c r="L18" s="227"/>
      <c r="M18" s="227"/>
      <c r="N18" s="133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140"/>
      <c r="AD18" s="228">
        <f>IF(ISBLANK(H18), VLOOKUP(0, DATA!$A$44:$M$55, O18+H18+1, FALSE), VLOOKUP(H18, DATA!$A$44:$M$55, O18+H18+1, FALSE))+AF18</f>
        <v>0</v>
      </c>
      <c r="AE18" s="228"/>
    </row>
    <row r="19" spans="1:31" x14ac:dyDescent="0.25">
      <c r="A19" s="276"/>
      <c r="B19" s="276"/>
      <c r="C19" s="276"/>
      <c r="D19" s="276"/>
      <c r="E19" s="276"/>
      <c r="F19" s="276"/>
      <c r="G19" s="276"/>
      <c r="H19" s="291"/>
      <c r="I19" s="275"/>
      <c r="J19" s="227"/>
      <c r="K19" s="227"/>
      <c r="L19" s="227"/>
      <c r="M19" s="227"/>
      <c r="N19" s="133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140"/>
      <c r="AD19" s="228">
        <f>IF(ISBLANK(H19), VLOOKUP(0, DATA!$A$44:$M$55, O19+H19+1, FALSE), VLOOKUP(H19, DATA!$A$44:$M$55, O19+H19+1, FALSE))+AF19</f>
        <v>0</v>
      </c>
      <c r="AE19" s="228"/>
    </row>
    <row r="20" spans="1:31" x14ac:dyDescent="0.25">
      <c r="A20" s="276"/>
      <c r="B20" s="276"/>
      <c r="C20" s="276"/>
      <c r="D20" s="276"/>
      <c r="E20" s="276"/>
      <c r="F20" s="276"/>
      <c r="G20" s="276"/>
      <c r="H20" s="291"/>
      <c r="I20" s="275"/>
      <c r="J20" s="227"/>
      <c r="K20" s="227"/>
      <c r="L20" s="227"/>
      <c r="M20" s="227"/>
      <c r="N20" s="133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140"/>
      <c r="AD20" s="228">
        <f>IF(ISBLANK(H20), VLOOKUP(0, DATA!$A$44:$M$55, O20+H20+1, FALSE), VLOOKUP(H20, DATA!$A$44:$M$55, O20+H20+1, FALSE))+AF20</f>
        <v>0</v>
      </c>
      <c r="AE20" s="228"/>
    </row>
    <row r="21" spans="1:31" x14ac:dyDescent="0.25">
      <c r="A21" s="276"/>
      <c r="B21" s="276"/>
      <c r="C21" s="276"/>
      <c r="D21" s="276"/>
      <c r="E21" s="276"/>
      <c r="F21" s="276"/>
      <c r="G21" s="276"/>
      <c r="H21" s="291"/>
      <c r="I21" s="275"/>
      <c r="J21" s="227"/>
      <c r="K21" s="227"/>
      <c r="L21" s="227"/>
      <c r="M21" s="227"/>
      <c r="N21" s="133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140"/>
      <c r="AD21" s="228">
        <f>IF(ISBLANK(H21), VLOOKUP(0, DATA!$A$44:$M$55, O21+H21+1, FALSE), VLOOKUP(H21, DATA!$A$44:$M$55, O21+H21+1, FALSE))+AF21</f>
        <v>0</v>
      </c>
      <c r="AE21" s="228"/>
    </row>
    <row r="22" spans="1:31" x14ac:dyDescent="0.25">
      <c r="A22" s="276"/>
      <c r="B22" s="276"/>
      <c r="C22" s="276"/>
      <c r="D22" s="276"/>
      <c r="E22" s="276"/>
      <c r="F22" s="276"/>
      <c r="G22" s="276"/>
      <c r="H22" s="291"/>
      <c r="I22" s="275"/>
      <c r="J22" s="227"/>
      <c r="K22" s="227"/>
      <c r="L22" s="227"/>
      <c r="M22" s="227"/>
      <c r="N22" s="133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140"/>
      <c r="AD22" s="228">
        <f>IF(ISBLANK(H22), VLOOKUP(0, DATA!$A$44:$M$55, O22+H22+1, FALSE), VLOOKUP(H22, DATA!$A$44:$M$55, O22+H22+1, FALSE))+AF22</f>
        <v>0</v>
      </c>
      <c r="AE22" s="228"/>
    </row>
    <row r="23" spans="1:31" x14ac:dyDescent="0.25">
      <c r="A23" s="276"/>
      <c r="B23" s="276"/>
      <c r="C23" s="276"/>
      <c r="D23" s="276"/>
      <c r="E23" s="276"/>
      <c r="F23" s="276"/>
      <c r="G23" s="276"/>
      <c r="H23" s="291"/>
      <c r="I23" s="275"/>
      <c r="J23" s="227"/>
      <c r="K23" s="227"/>
      <c r="L23" s="227"/>
      <c r="M23" s="227"/>
      <c r="N23" s="133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140"/>
      <c r="AD23" s="228">
        <f>IF(ISBLANK(H23), VLOOKUP(0, DATA!$A$44:$M$55, O23+H23+1, FALSE), VLOOKUP(H23, DATA!$A$44:$M$55, O23+H23+1, FALSE))+AF23</f>
        <v>0</v>
      </c>
      <c r="AE23" s="228"/>
    </row>
    <row r="24" spans="1:31" x14ac:dyDescent="0.25">
      <c r="A24" s="276"/>
      <c r="B24" s="276"/>
      <c r="C24" s="276"/>
      <c r="D24" s="276"/>
      <c r="E24" s="276"/>
      <c r="F24" s="276"/>
      <c r="G24" s="276"/>
      <c r="H24" s="291"/>
      <c r="I24" s="275"/>
      <c r="J24" s="227"/>
      <c r="K24" s="227"/>
      <c r="L24" s="227"/>
      <c r="M24" s="227"/>
      <c r="N24" s="133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140"/>
      <c r="AD24" s="228">
        <f>IF(ISBLANK(H24), VLOOKUP(0, DATA!$A$44:$M$55, O24+H24+1, FALSE), VLOOKUP(H24, DATA!$A$44:$M$55, O24+H24+1, FALSE))+AF24</f>
        <v>0</v>
      </c>
      <c r="AE24" s="228"/>
    </row>
    <row r="25" spans="1:31" x14ac:dyDescent="0.25">
      <c r="A25" s="276"/>
      <c r="B25" s="276"/>
      <c r="C25" s="276"/>
      <c r="D25" s="276"/>
      <c r="E25" s="276"/>
      <c r="F25" s="276"/>
      <c r="G25" s="276"/>
      <c r="H25" s="291"/>
      <c r="I25" s="275"/>
      <c r="J25" s="227"/>
      <c r="K25" s="227"/>
      <c r="L25" s="227"/>
      <c r="M25" s="227"/>
      <c r="N25" s="133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140"/>
      <c r="AD25" s="228">
        <f>IF(ISBLANK(H25), VLOOKUP(0, DATA!$A$44:$M$55, O25+H25+1, FALSE), VLOOKUP(H25, DATA!$A$44:$M$55, O25+H25+1, FALSE))+AF25</f>
        <v>0</v>
      </c>
      <c r="AE25" s="228"/>
    </row>
  </sheetData>
  <mergeCells count="186">
    <mergeCell ref="Y24:AB24"/>
    <mergeCell ref="AD24:AE24"/>
    <mergeCell ref="A25:G25"/>
    <mergeCell ref="H25:I25"/>
    <mergeCell ref="J25:M25"/>
    <mergeCell ref="O25:P25"/>
    <mergeCell ref="Q25:T25"/>
    <mergeCell ref="U25:X25"/>
    <mergeCell ref="Y25:AB25"/>
    <mergeCell ref="AD25:AE25"/>
    <mergeCell ref="A24:G24"/>
    <mergeCell ref="H24:I24"/>
    <mergeCell ref="J24:M24"/>
    <mergeCell ref="O24:P24"/>
    <mergeCell ref="Q24:T24"/>
    <mergeCell ref="U24:X24"/>
    <mergeCell ref="Y22:AB22"/>
    <mergeCell ref="AD22:AE22"/>
    <mergeCell ref="A23:G23"/>
    <mergeCell ref="H23:I23"/>
    <mergeCell ref="J23:M23"/>
    <mergeCell ref="O23:P23"/>
    <mergeCell ref="Q23:T23"/>
    <mergeCell ref="U23:X23"/>
    <mergeCell ref="Y23:AB23"/>
    <mergeCell ref="AD23:AE23"/>
    <mergeCell ref="A22:G22"/>
    <mergeCell ref="H22:I22"/>
    <mergeCell ref="J22:M22"/>
    <mergeCell ref="O22:P22"/>
    <mergeCell ref="Q22:T22"/>
    <mergeCell ref="U22:X22"/>
    <mergeCell ref="Y20:AB20"/>
    <mergeCell ref="AD20:AE20"/>
    <mergeCell ref="A21:G21"/>
    <mergeCell ref="H21:I21"/>
    <mergeCell ref="J21:M21"/>
    <mergeCell ref="O21:P21"/>
    <mergeCell ref="Q21:T21"/>
    <mergeCell ref="U21:X21"/>
    <mergeCell ref="Y21:AB21"/>
    <mergeCell ref="AD21:AE21"/>
    <mergeCell ref="A20:G20"/>
    <mergeCell ref="H20:I20"/>
    <mergeCell ref="J20:M20"/>
    <mergeCell ref="O20:P20"/>
    <mergeCell ref="Q20:T20"/>
    <mergeCell ref="U20:X20"/>
    <mergeCell ref="Y18:AB18"/>
    <mergeCell ref="AD18:AE18"/>
    <mergeCell ref="A19:G19"/>
    <mergeCell ref="H19:I19"/>
    <mergeCell ref="J19:M19"/>
    <mergeCell ref="O19:P19"/>
    <mergeCell ref="Q19:T19"/>
    <mergeCell ref="U19:X19"/>
    <mergeCell ref="Y19:AB19"/>
    <mergeCell ref="AD19:AE19"/>
    <mergeCell ref="A18:G18"/>
    <mergeCell ref="H18:I18"/>
    <mergeCell ref="J18:M18"/>
    <mergeCell ref="O18:P18"/>
    <mergeCell ref="Q18:T18"/>
    <mergeCell ref="U18:X18"/>
    <mergeCell ref="Y16:AB16"/>
    <mergeCell ref="AD16:AE16"/>
    <mergeCell ref="A17:G17"/>
    <mergeCell ref="H17:I17"/>
    <mergeCell ref="J17:M17"/>
    <mergeCell ref="O17:P17"/>
    <mergeCell ref="Q17:T17"/>
    <mergeCell ref="U17:X17"/>
    <mergeCell ref="Y17:AB17"/>
    <mergeCell ref="AD17:AE17"/>
    <mergeCell ref="A16:G16"/>
    <mergeCell ref="H16:I16"/>
    <mergeCell ref="J16:M16"/>
    <mergeCell ref="O16:P16"/>
    <mergeCell ref="Q16:T16"/>
    <mergeCell ref="U16:X16"/>
    <mergeCell ref="Y14:AB14"/>
    <mergeCell ref="AD14:AE14"/>
    <mergeCell ref="A15:G15"/>
    <mergeCell ref="H15:I15"/>
    <mergeCell ref="J15:M15"/>
    <mergeCell ref="O15:P15"/>
    <mergeCell ref="Q15:T15"/>
    <mergeCell ref="U15:X15"/>
    <mergeCell ref="Y15:AB15"/>
    <mergeCell ref="AD15:AE15"/>
    <mergeCell ref="A14:G14"/>
    <mergeCell ref="H14:I14"/>
    <mergeCell ref="J14:M14"/>
    <mergeCell ref="O14:P14"/>
    <mergeCell ref="Q14:T14"/>
    <mergeCell ref="U14:X14"/>
    <mergeCell ref="Y12:AB12"/>
    <mergeCell ref="AD12:AE12"/>
    <mergeCell ref="A13:G13"/>
    <mergeCell ref="H13:I13"/>
    <mergeCell ref="J13:M13"/>
    <mergeCell ref="O13:P13"/>
    <mergeCell ref="Q13:T13"/>
    <mergeCell ref="U13:X13"/>
    <mergeCell ref="Y13:AB13"/>
    <mergeCell ref="AD13:AE13"/>
    <mergeCell ref="A12:G12"/>
    <mergeCell ref="H12:I12"/>
    <mergeCell ref="J12:M12"/>
    <mergeCell ref="O12:P12"/>
    <mergeCell ref="Q12:T12"/>
    <mergeCell ref="U12:X12"/>
    <mergeCell ref="A11:G11"/>
    <mergeCell ref="H11:I11"/>
    <mergeCell ref="J11:M11"/>
    <mergeCell ref="O11:P11"/>
    <mergeCell ref="Q11:T11"/>
    <mergeCell ref="U11:X11"/>
    <mergeCell ref="Y11:AB11"/>
    <mergeCell ref="AD11:AE11"/>
    <mergeCell ref="A10:G10"/>
    <mergeCell ref="H10:I10"/>
    <mergeCell ref="J10:M10"/>
    <mergeCell ref="O10:P10"/>
    <mergeCell ref="Q10:T10"/>
    <mergeCell ref="U10:X10"/>
    <mergeCell ref="A9:G9"/>
    <mergeCell ref="H9:I9"/>
    <mergeCell ref="J9:M9"/>
    <mergeCell ref="O9:P9"/>
    <mergeCell ref="Q9:T9"/>
    <mergeCell ref="U9:X9"/>
    <mergeCell ref="Y9:AB9"/>
    <mergeCell ref="AD9:AE9"/>
    <mergeCell ref="Y10:AB10"/>
    <mergeCell ref="AD10:AE10"/>
    <mergeCell ref="AH1:AI1"/>
    <mergeCell ref="A2:E2"/>
    <mergeCell ref="F2:G2"/>
    <mergeCell ref="I2:L2"/>
    <mergeCell ref="M2:N2"/>
    <mergeCell ref="P2:Q2"/>
    <mergeCell ref="W2:Z2"/>
    <mergeCell ref="AA2:AB2"/>
    <mergeCell ref="A8:G8"/>
    <mergeCell ref="H8:I8"/>
    <mergeCell ref="J8:M8"/>
    <mergeCell ref="O8:P8"/>
    <mergeCell ref="Q8:T8"/>
    <mergeCell ref="U8:X8"/>
    <mergeCell ref="Y8:AB8"/>
    <mergeCell ref="D6:G6"/>
    <mergeCell ref="Y6:AB6"/>
    <mergeCell ref="AD8:AE8"/>
    <mergeCell ref="AD6:AE6"/>
    <mergeCell ref="A7:G7"/>
    <mergeCell ref="H7:I7"/>
    <mergeCell ref="J7:M7"/>
    <mergeCell ref="O7:P7"/>
    <mergeCell ref="Q7:T7"/>
    <mergeCell ref="U7:X7"/>
    <mergeCell ref="Y7:AB7"/>
    <mergeCell ref="AD7:AE7"/>
    <mergeCell ref="H6:I6"/>
    <mergeCell ref="J6:M6"/>
    <mergeCell ref="O6:P6"/>
    <mergeCell ref="Q6:T6"/>
    <mergeCell ref="U6:X6"/>
    <mergeCell ref="A6:C6"/>
    <mergeCell ref="AD5:AE5"/>
    <mergeCell ref="O4:AB4"/>
    <mergeCell ref="A5:G5"/>
    <mergeCell ref="H5:I5"/>
    <mergeCell ref="O5:P5"/>
    <mergeCell ref="Q5:AB5"/>
    <mergeCell ref="A4:M4"/>
    <mergeCell ref="R2:U2"/>
    <mergeCell ref="A1:B1"/>
    <mergeCell ref="C1:G1"/>
    <mergeCell ref="I1:K1"/>
    <mergeCell ref="L1:N1"/>
    <mergeCell ref="P1:S1"/>
    <mergeCell ref="T1:U1"/>
    <mergeCell ref="W1:Z1"/>
    <mergeCell ref="AA1:AB1"/>
    <mergeCell ref="AD1:AG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25"/>
  <sheetViews>
    <sheetView workbookViewId="0">
      <pane ySplit="2" topLeftCell="A3" activePane="bottomLeft" state="frozen"/>
      <selection pane="bottomLeft" activeCell="A6" sqref="A6:G6"/>
    </sheetView>
  </sheetViews>
  <sheetFormatPr defaultColWidth="3.42578125" defaultRowHeight="15" x14ac:dyDescent="0.25"/>
  <cols>
    <col min="1" max="1" width="3.42578125" style="123"/>
    <col min="2" max="21" width="3.42578125" style="121"/>
    <col min="22" max="22" width="3.42578125" style="121" customWidth="1"/>
    <col min="23" max="32" width="3.42578125" style="121"/>
    <col min="33" max="33" width="3.42578125" style="121" customWidth="1"/>
    <col min="34" max="65" width="3.42578125" style="121"/>
    <col min="66" max="69" width="3.42578125" style="121" customWidth="1"/>
    <col min="70" max="16384" width="3.42578125" style="121"/>
  </cols>
  <sheetData>
    <row r="1" spans="1:70" s="124" customFormat="1" x14ac:dyDescent="0.25">
      <c r="A1" s="241" t="s">
        <v>412</v>
      </c>
      <c r="B1" s="241"/>
      <c r="C1" s="251">
        <f>'0. Sheet'!A1</f>
        <v>0</v>
      </c>
      <c r="D1" s="251"/>
      <c r="E1" s="251"/>
      <c r="F1" s="251"/>
      <c r="G1" s="251"/>
      <c r="H1" s="129" t="s">
        <v>56</v>
      </c>
      <c r="I1" s="257" t="s">
        <v>230</v>
      </c>
      <c r="J1" s="257"/>
      <c r="K1" s="257"/>
      <c r="L1" s="251">
        <f>'1. Priorities'!$Q$4</f>
        <v>0</v>
      </c>
      <c r="M1" s="251"/>
      <c r="N1" s="251"/>
      <c r="O1" s="129" t="s">
        <v>56</v>
      </c>
      <c r="P1" s="257" t="s">
        <v>239</v>
      </c>
      <c r="Q1" s="257"/>
      <c r="R1" s="257"/>
      <c r="S1" s="257"/>
      <c r="T1" s="241">
        <f>ROUNDDOWN('1. Priorities'!P20/10, 0)</f>
        <v>2</v>
      </c>
      <c r="U1" s="241"/>
      <c r="V1" s="129" t="s">
        <v>56</v>
      </c>
      <c r="W1" s="257" t="s">
        <v>240</v>
      </c>
      <c r="X1" s="257"/>
      <c r="Y1" s="257"/>
      <c r="Z1" s="257"/>
      <c r="AA1" s="257">
        <f>IF(('4. Qualities-Negative'!AR33-'3. Qualities-Positive'!AR36+'1. Priorities'!P13)&lt;0, 0, '4. Qualities-Negative'!AR33-'3. Qualities-Positive'!AR36+'1. Priorities'!P13)</f>
        <v>0</v>
      </c>
      <c r="AB1" s="257"/>
      <c r="AC1" s="129" t="s">
        <v>56</v>
      </c>
      <c r="AD1" s="257" t="s">
        <v>241</v>
      </c>
      <c r="AE1" s="257"/>
      <c r="AF1" s="257"/>
      <c r="AG1" s="257"/>
      <c r="AH1" s="257">
        <f>'1. Priorities'!P14</f>
        <v>0</v>
      </c>
      <c r="AI1" s="257"/>
      <c r="AJ1" s="129" t="s">
        <v>56</v>
      </c>
    </row>
    <row r="2" spans="1:70" s="124" customFormat="1" x14ac:dyDescent="0.25">
      <c r="A2" s="262" t="s">
        <v>54</v>
      </c>
      <c r="B2" s="262"/>
      <c r="C2" s="262"/>
      <c r="D2" s="262"/>
      <c r="E2" s="262"/>
      <c r="F2" s="251" t="e">
        <f>'1. Priorities'!$P$22</f>
        <v>#N/A</v>
      </c>
      <c r="G2" s="251"/>
      <c r="H2" s="129" t="s">
        <v>56</v>
      </c>
      <c r="I2" s="241" t="s">
        <v>57</v>
      </c>
      <c r="J2" s="241"/>
      <c r="K2" s="241"/>
      <c r="L2" s="241"/>
      <c r="M2" s="251" t="e">
        <f>'1. Priorities'!$P$21</f>
        <v>#N/A</v>
      </c>
      <c r="N2" s="251"/>
      <c r="O2" s="129" t="s">
        <v>56</v>
      </c>
      <c r="P2" s="241" t="s">
        <v>55</v>
      </c>
      <c r="Q2" s="241"/>
      <c r="R2" s="261">
        <f>'1. Priorities'!$Y$22</f>
        <v>0</v>
      </c>
      <c r="S2" s="261"/>
      <c r="T2" s="261"/>
      <c r="U2" s="261"/>
      <c r="V2" s="129" t="s">
        <v>56</v>
      </c>
      <c r="W2" s="257" t="s">
        <v>244</v>
      </c>
      <c r="X2" s="257"/>
      <c r="Y2" s="257"/>
      <c r="Z2" s="257"/>
      <c r="AA2" s="257">
        <f>'2. Attributes'!R20</f>
        <v>6</v>
      </c>
      <c r="AB2" s="257"/>
      <c r="AC2" s="129" t="s">
        <v>56</v>
      </c>
      <c r="AJ2" s="129" t="s">
        <v>56</v>
      </c>
    </row>
    <row r="3" spans="1:70" s="124" customFormat="1" x14ac:dyDescent="0.25">
      <c r="A3" s="134"/>
      <c r="B3" s="134"/>
      <c r="C3" s="134"/>
      <c r="D3" s="134"/>
      <c r="E3" s="134"/>
      <c r="F3" s="120"/>
      <c r="G3" s="120"/>
      <c r="H3" s="129"/>
      <c r="I3" s="127"/>
      <c r="J3" s="127"/>
      <c r="K3" s="127"/>
      <c r="L3" s="127"/>
      <c r="M3" s="120"/>
      <c r="N3" s="120"/>
      <c r="O3" s="129"/>
      <c r="P3" s="127"/>
      <c r="Q3" s="127"/>
      <c r="R3" s="118"/>
      <c r="S3" s="118"/>
      <c r="T3" s="118"/>
      <c r="U3" s="118"/>
      <c r="V3" s="129"/>
      <c r="AC3" s="129"/>
      <c r="AJ3" s="129"/>
    </row>
    <row r="4" spans="1:70" s="124" customFormat="1" x14ac:dyDescent="0.25">
      <c r="A4" s="134" t="e">
        <f>IF(BQ5-COUNTA(A6:G15)&gt;0, BQ5-COUNTA(A6:G15)&amp;" Free Spells Remaining", "Spells Known")</f>
        <v>#N/A</v>
      </c>
      <c r="B4" s="134"/>
      <c r="C4" s="134"/>
      <c r="D4" s="134"/>
      <c r="E4" s="134"/>
      <c r="F4" s="120"/>
      <c r="G4" s="120"/>
      <c r="H4" s="129"/>
      <c r="I4" s="127"/>
      <c r="J4" s="127"/>
      <c r="K4" s="127" t="str">
        <f>IF('1. Priorities'!U4="Mystic Adept", IF(V5&lt;BN6, "Max of "&amp;(BN6-V5)&amp;" Power Points Remaining", IF((BN6-V5)&lt;0, -(BN6-V5)&amp;" point(s) over your maximum", "Adept Powers")), IF('1. Priorities'!U4="Adept", BN6-V5&amp;" Power Points Remaining", "Adept Powers"))</f>
        <v>Adept Powers</v>
      </c>
      <c r="L4" s="127"/>
      <c r="M4" s="120"/>
      <c r="N4" s="120"/>
      <c r="O4" s="129"/>
      <c r="P4" s="127"/>
      <c r="Q4" s="127"/>
      <c r="R4" s="118"/>
      <c r="S4" s="118"/>
      <c r="T4" s="118"/>
      <c r="U4" s="118"/>
      <c r="V4" s="129"/>
      <c r="W4" s="124" t="s">
        <v>356</v>
      </c>
      <c r="AC4" s="129"/>
      <c r="AJ4" s="129"/>
      <c r="AP4" s="263" t="s">
        <v>197</v>
      </c>
      <c r="AQ4" s="263"/>
      <c r="AS4" s="93" t="s">
        <v>361</v>
      </c>
      <c r="AT4" s="93"/>
      <c r="AU4" s="93"/>
      <c r="AV4" s="93"/>
      <c r="AW4" s="93"/>
      <c r="AX4" s="93"/>
      <c r="AY4" s="93"/>
      <c r="AZ4" s="93"/>
      <c r="BA4" s="93"/>
    </row>
    <row r="5" spans="1:70" x14ac:dyDescent="0.25">
      <c r="A5" s="229" t="s">
        <v>119</v>
      </c>
      <c r="B5" s="229"/>
      <c r="C5" s="229"/>
      <c r="D5" s="229"/>
      <c r="E5" s="229"/>
      <c r="F5" s="229"/>
      <c r="G5" s="229"/>
      <c r="H5" s="256" t="s">
        <v>342</v>
      </c>
      <c r="I5" s="256"/>
      <c r="K5" s="257" t="s">
        <v>115</v>
      </c>
      <c r="L5" s="257"/>
      <c r="M5" s="257"/>
      <c r="N5" s="257"/>
      <c r="O5" s="257"/>
      <c r="P5" s="257"/>
      <c r="Q5" s="257"/>
      <c r="R5" s="263" t="s">
        <v>186</v>
      </c>
      <c r="S5" s="263"/>
      <c r="T5" s="263" t="s">
        <v>184</v>
      </c>
      <c r="U5" s="263"/>
      <c r="V5" s="125">
        <f>SUM(V6:V25)</f>
        <v>0</v>
      </c>
      <c r="W5" s="229" t="s">
        <v>358</v>
      </c>
      <c r="X5" s="229"/>
      <c r="Y5" s="229"/>
      <c r="Z5" s="229"/>
      <c r="AA5" s="229"/>
      <c r="AB5" s="229"/>
      <c r="AC5" s="229"/>
      <c r="AD5" s="226" t="s">
        <v>342</v>
      </c>
      <c r="AE5" s="226"/>
      <c r="AF5" s="226"/>
      <c r="AG5" s="226"/>
      <c r="AH5" s="226" t="s">
        <v>357</v>
      </c>
      <c r="AI5" s="226"/>
      <c r="AJ5" s="226"/>
      <c r="AK5" s="226"/>
      <c r="AL5" s="304" t="s">
        <v>360</v>
      </c>
      <c r="AM5" s="309"/>
      <c r="AN5" s="308" t="s">
        <v>359</v>
      </c>
      <c r="AO5" s="263"/>
      <c r="AP5" s="263" t="s">
        <v>232</v>
      </c>
      <c r="AQ5" s="263"/>
      <c r="AS5" s="229" t="s">
        <v>362</v>
      </c>
      <c r="AT5" s="229"/>
      <c r="AU5" s="229"/>
      <c r="AV5" s="229"/>
      <c r="AW5" s="229"/>
      <c r="AX5" s="229"/>
      <c r="AY5" s="229"/>
      <c r="AZ5" s="267"/>
      <c r="BA5" s="267"/>
      <c r="BN5" s="150" t="e">
        <f>VLOOKUP("Magic", '1. Priorities'!B4:P8, 15, FALSE)</f>
        <v>#N/A</v>
      </c>
      <c r="BO5" s="150" t="str">
        <f>IF('1. Priorities'!B4="Magic", 1, IF('1. Priorities'!B5="Magic", 3, IF('1. Priorities'!B6="Magic", 5, IF('1. Priorities'!B7="Magic", 7, ""))))</f>
        <v/>
      </c>
      <c r="BP5" s="150" t="e">
        <f>VLOOKUP('1. Priorities'!U4, DATA!W12:AD16,BO5+1, FALSE)</f>
        <v>#VALUE!</v>
      </c>
      <c r="BQ5" s="150" t="e">
        <f>VLOOKUP(BN5, DATA!A3:AO7, BP5+6, FALSE)</f>
        <v>#N/A</v>
      </c>
      <c r="BR5" s="126"/>
    </row>
    <row r="6" spans="1:70" x14ac:dyDescent="0.25">
      <c r="A6" s="310"/>
      <c r="B6" s="310"/>
      <c r="C6" s="310"/>
      <c r="D6" s="310"/>
      <c r="E6" s="310"/>
      <c r="F6" s="310"/>
      <c r="G6" s="310"/>
      <c r="H6" s="227"/>
      <c r="I6" s="227"/>
      <c r="K6" s="276"/>
      <c r="L6" s="276"/>
      <c r="M6" s="276"/>
      <c r="N6" s="276"/>
      <c r="O6" s="276"/>
      <c r="P6" s="276"/>
      <c r="Q6" s="276"/>
      <c r="R6" s="311"/>
      <c r="S6" s="311"/>
      <c r="T6" s="227"/>
      <c r="U6" s="227"/>
      <c r="V6" s="125">
        <f>T6*R6</f>
        <v>0</v>
      </c>
      <c r="W6" s="276"/>
      <c r="X6" s="276"/>
      <c r="Y6" s="276"/>
      <c r="Z6" s="276"/>
      <c r="AA6" s="276"/>
      <c r="AB6" s="276"/>
      <c r="AC6" s="276"/>
      <c r="AD6" s="307"/>
      <c r="AE6" s="307"/>
      <c r="AF6" s="307"/>
      <c r="AG6" s="307"/>
      <c r="AH6" s="227"/>
      <c r="AI6" s="227"/>
      <c r="AJ6" s="227"/>
      <c r="AK6" s="291"/>
      <c r="AL6" s="291"/>
      <c r="AM6" s="275"/>
      <c r="AN6" s="228" t="e">
        <f>VLOOKUP(AD6, DATA!X43:Y49, 2, FALSE)</f>
        <v>#N/A</v>
      </c>
      <c r="AO6" s="228"/>
      <c r="AP6" s="228">
        <f>IF(ISBLANK(AL6), 0, AL6*AN6)</f>
        <v>0</v>
      </c>
      <c r="AQ6" s="228"/>
      <c r="AS6" s="226" t="s">
        <v>363</v>
      </c>
      <c r="AT6" s="226"/>
      <c r="AU6" s="226"/>
      <c r="AV6" s="226"/>
      <c r="AW6" s="226"/>
      <c r="AX6" s="226"/>
      <c r="AY6" s="226"/>
      <c r="AZ6" s="226"/>
      <c r="BA6" s="226"/>
      <c r="BN6" s="125">
        <f>'2. Attributes'!R17</f>
        <v>0</v>
      </c>
      <c r="BO6" s="125">
        <f>ROUNDUP(V5, 0)</f>
        <v>0</v>
      </c>
      <c r="BP6" s="125">
        <f>IF('1. Priorities'!U4="Mystic Adept", BO6*5, 0)</f>
        <v>0</v>
      </c>
      <c r="BQ6" s="126"/>
      <c r="BR6" s="126"/>
    </row>
    <row r="7" spans="1:70" x14ac:dyDescent="0.25">
      <c r="A7" s="310"/>
      <c r="B7" s="310"/>
      <c r="C7" s="310"/>
      <c r="D7" s="310"/>
      <c r="E7" s="310"/>
      <c r="F7" s="310"/>
      <c r="G7" s="310"/>
      <c r="H7" s="227"/>
      <c r="I7" s="227"/>
      <c r="K7" s="276"/>
      <c r="L7" s="276"/>
      <c r="M7" s="276"/>
      <c r="N7" s="276"/>
      <c r="O7" s="276"/>
      <c r="P7" s="276"/>
      <c r="Q7" s="276"/>
      <c r="R7" s="311"/>
      <c r="S7" s="311"/>
      <c r="T7" s="227"/>
      <c r="U7" s="227"/>
      <c r="V7" s="125">
        <f t="shared" ref="V7:V25" si="0">T7*R7</f>
        <v>0</v>
      </c>
      <c r="W7" s="276"/>
      <c r="X7" s="276"/>
      <c r="Y7" s="276"/>
      <c r="Z7" s="276"/>
      <c r="AA7" s="276"/>
      <c r="AB7" s="276"/>
      <c r="AC7" s="276"/>
      <c r="AD7" s="307"/>
      <c r="AE7" s="307"/>
      <c r="AF7" s="307"/>
      <c r="AG7" s="307"/>
      <c r="AH7" s="227"/>
      <c r="AI7" s="227"/>
      <c r="AJ7" s="227"/>
      <c r="AK7" s="291"/>
      <c r="AL7" s="291"/>
      <c r="AM7" s="275"/>
      <c r="AN7" s="228" t="e">
        <f>VLOOKUP(AD7, DATA!X44:Y50, 2, FALSE)</f>
        <v>#N/A</v>
      </c>
      <c r="AO7" s="228"/>
      <c r="AP7" s="228">
        <f t="shared" ref="AP7:AP25" si="1">IF(ISBLANK(AL7), 0, AL7*AN7)</f>
        <v>0</v>
      </c>
      <c r="AQ7" s="228"/>
      <c r="AS7" s="274"/>
      <c r="AT7" s="274"/>
      <c r="AU7" s="274"/>
      <c r="AV7" s="274"/>
      <c r="AW7" s="274"/>
      <c r="AX7" s="274"/>
      <c r="AY7" s="274"/>
      <c r="AZ7" s="274"/>
      <c r="BA7" s="274"/>
      <c r="BN7" s="125" t="e">
        <f>IF((COUNTA(A6:A25)-BQ5)&gt;0, (COUNTA(A6:A25)-BQ5)*5, 0)</f>
        <v>#N/A</v>
      </c>
      <c r="BO7" s="125">
        <f>SUM(AP6:AP25)</f>
        <v>0</v>
      </c>
      <c r="BP7" s="125">
        <f>IF(AZ5&gt;0, VLOOKUP(AZ5, DATA!O43:P52, 2, FALSE), 0)</f>
        <v>0</v>
      </c>
      <c r="BQ7" s="126"/>
      <c r="BR7" s="126"/>
    </row>
    <row r="8" spans="1:70" x14ac:dyDescent="0.25">
      <c r="A8" s="310"/>
      <c r="B8" s="310"/>
      <c r="C8" s="310"/>
      <c r="D8" s="310"/>
      <c r="E8" s="310"/>
      <c r="F8" s="310"/>
      <c r="G8" s="310"/>
      <c r="H8" s="227"/>
      <c r="I8" s="227"/>
      <c r="K8" s="276"/>
      <c r="L8" s="276"/>
      <c r="M8" s="276"/>
      <c r="N8" s="276"/>
      <c r="O8" s="276"/>
      <c r="P8" s="276"/>
      <c r="Q8" s="276"/>
      <c r="R8" s="311"/>
      <c r="S8" s="311"/>
      <c r="T8" s="227"/>
      <c r="U8" s="227"/>
      <c r="V8" s="125">
        <f t="shared" si="0"/>
        <v>0</v>
      </c>
      <c r="W8" s="276"/>
      <c r="X8" s="276"/>
      <c r="Y8" s="276"/>
      <c r="Z8" s="276"/>
      <c r="AA8" s="276"/>
      <c r="AB8" s="276"/>
      <c r="AC8" s="276"/>
      <c r="AD8" s="307"/>
      <c r="AE8" s="307"/>
      <c r="AF8" s="307"/>
      <c r="AG8" s="307"/>
      <c r="AH8" s="227"/>
      <c r="AI8" s="227"/>
      <c r="AJ8" s="227"/>
      <c r="AK8" s="291"/>
      <c r="AL8" s="291"/>
      <c r="AM8" s="275"/>
      <c r="AN8" s="228" t="e">
        <f>VLOOKUP(AD8, DATA!X45:Y51, 2, FALSE)</f>
        <v>#N/A</v>
      </c>
      <c r="AO8" s="228"/>
      <c r="AP8" s="228">
        <f t="shared" si="1"/>
        <v>0</v>
      </c>
      <c r="AQ8" s="228"/>
      <c r="AS8" s="274"/>
      <c r="AT8" s="274"/>
      <c r="AU8" s="274"/>
      <c r="AV8" s="274"/>
      <c r="AW8" s="274"/>
      <c r="AX8" s="274"/>
      <c r="AY8" s="274"/>
      <c r="AZ8" s="274"/>
      <c r="BA8" s="274"/>
    </row>
    <row r="9" spans="1:70" x14ac:dyDescent="0.25">
      <c r="A9" s="310"/>
      <c r="B9" s="310"/>
      <c r="C9" s="310"/>
      <c r="D9" s="310"/>
      <c r="E9" s="310"/>
      <c r="F9" s="310"/>
      <c r="G9" s="310"/>
      <c r="H9" s="227"/>
      <c r="I9" s="227"/>
      <c r="K9" s="276"/>
      <c r="L9" s="276"/>
      <c r="M9" s="276"/>
      <c r="N9" s="276"/>
      <c r="O9" s="276"/>
      <c r="P9" s="276"/>
      <c r="Q9" s="276"/>
      <c r="R9" s="311"/>
      <c r="S9" s="311"/>
      <c r="T9" s="227"/>
      <c r="U9" s="227"/>
      <c r="V9" s="125">
        <f t="shared" si="0"/>
        <v>0</v>
      </c>
      <c r="W9" s="276"/>
      <c r="X9" s="276"/>
      <c r="Y9" s="276"/>
      <c r="Z9" s="276"/>
      <c r="AA9" s="276"/>
      <c r="AB9" s="276"/>
      <c r="AC9" s="276"/>
      <c r="AD9" s="307"/>
      <c r="AE9" s="307"/>
      <c r="AF9" s="307"/>
      <c r="AG9" s="307"/>
      <c r="AH9" s="227"/>
      <c r="AI9" s="227"/>
      <c r="AJ9" s="227"/>
      <c r="AK9" s="291"/>
      <c r="AL9" s="291"/>
      <c r="AM9" s="275"/>
      <c r="AN9" s="228" t="e">
        <f>VLOOKUP(AD9, DATA!X46:Y52, 2, FALSE)</f>
        <v>#N/A</v>
      </c>
      <c r="AO9" s="228"/>
      <c r="AP9" s="228">
        <f t="shared" si="1"/>
        <v>0</v>
      </c>
      <c r="AQ9" s="228"/>
      <c r="AS9" s="274"/>
      <c r="AT9" s="274"/>
      <c r="AU9" s="274"/>
      <c r="AV9" s="274"/>
      <c r="AW9" s="274"/>
      <c r="AX9" s="274"/>
      <c r="AY9" s="274"/>
      <c r="AZ9" s="274"/>
      <c r="BA9" s="274"/>
    </row>
    <row r="10" spans="1:70" x14ac:dyDescent="0.25">
      <c r="A10" s="310"/>
      <c r="B10" s="310"/>
      <c r="C10" s="310"/>
      <c r="D10" s="310"/>
      <c r="E10" s="310"/>
      <c r="F10" s="310"/>
      <c r="G10" s="310"/>
      <c r="H10" s="227"/>
      <c r="I10" s="227"/>
      <c r="K10" s="276"/>
      <c r="L10" s="276"/>
      <c r="M10" s="276"/>
      <c r="N10" s="276"/>
      <c r="O10" s="276"/>
      <c r="P10" s="276"/>
      <c r="Q10" s="276"/>
      <c r="R10" s="311"/>
      <c r="S10" s="311"/>
      <c r="T10" s="227"/>
      <c r="U10" s="227"/>
      <c r="V10" s="125">
        <f t="shared" si="0"/>
        <v>0</v>
      </c>
      <c r="W10" s="276"/>
      <c r="X10" s="276"/>
      <c r="Y10" s="276"/>
      <c r="Z10" s="276"/>
      <c r="AA10" s="276"/>
      <c r="AB10" s="276"/>
      <c r="AC10" s="276"/>
      <c r="AD10" s="307"/>
      <c r="AE10" s="307"/>
      <c r="AF10" s="307"/>
      <c r="AG10" s="307"/>
      <c r="AH10" s="227"/>
      <c r="AI10" s="227"/>
      <c r="AJ10" s="227"/>
      <c r="AK10" s="291"/>
      <c r="AL10" s="291"/>
      <c r="AM10" s="275"/>
      <c r="AN10" s="228" t="e">
        <f>VLOOKUP(AD10, DATA!X47:Y53, 2, FALSE)</f>
        <v>#N/A</v>
      </c>
      <c r="AO10" s="228"/>
      <c r="AP10" s="228">
        <f t="shared" si="1"/>
        <v>0</v>
      </c>
      <c r="AQ10" s="228"/>
      <c r="AS10" s="274"/>
      <c r="AT10" s="274"/>
      <c r="AU10" s="274"/>
      <c r="AV10" s="274"/>
      <c r="AW10" s="274"/>
      <c r="AX10" s="274"/>
      <c r="AY10" s="274"/>
      <c r="AZ10" s="274"/>
      <c r="BA10" s="274"/>
    </row>
    <row r="11" spans="1:70" x14ac:dyDescent="0.25">
      <c r="A11" s="310"/>
      <c r="B11" s="310"/>
      <c r="C11" s="310"/>
      <c r="D11" s="310"/>
      <c r="E11" s="310"/>
      <c r="F11" s="310"/>
      <c r="G11" s="310"/>
      <c r="H11" s="227"/>
      <c r="I11" s="227"/>
      <c r="K11" s="276"/>
      <c r="L11" s="276"/>
      <c r="M11" s="276"/>
      <c r="N11" s="276"/>
      <c r="O11" s="276"/>
      <c r="P11" s="276"/>
      <c r="Q11" s="276"/>
      <c r="R11" s="311"/>
      <c r="S11" s="311"/>
      <c r="T11" s="227"/>
      <c r="U11" s="227"/>
      <c r="V11" s="125">
        <f t="shared" si="0"/>
        <v>0</v>
      </c>
      <c r="W11" s="276"/>
      <c r="X11" s="276"/>
      <c r="Y11" s="276"/>
      <c r="Z11" s="276"/>
      <c r="AA11" s="276"/>
      <c r="AB11" s="276"/>
      <c r="AC11" s="276"/>
      <c r="AD11" s="307"/>
      <c r="AE11" s="307"/>
      <c r="AF11" s="307"/>
      <c r="AG11" s="307"/>
      <c r="AH11" s="227"/>
      <c r="AI11" s="227"/>
      <c r="AJ11" s="227"/>
      <c r="AK11" s="291"/>
      <c r="AL11" s="291"/>
      <c r="AM11" s="275"/>
      <c r="AN11" s="228" t="e">
        <f>VLOOKUP(AD11, DATA!X48:Y54, 2, FALSE)</f>
        <v>#N/A</v>
      </c>
      <c r="AO11" s="228"/>
      <c r="AP11" s="228">
        <f t="shared" si="1"/>
        <v>0</v>
      </c>
      <c r="AQ11" s="228"/>
      <c r="AS11" s="274"/>
      <c r="AT11" s="274"/>
      <c r="AU11" s="274"/>
      <c r="AV11" s="274"/>
      <c r="AW11" s="274"/>
      <c r="AX11" s="274"/>
      <c r="AY11" s="274"/>
      <c r="AZ11" s="274"/>
      <c r="BA11" s="274"/>
    </row>
    <row r="12" spans="1:70" x14ac:dyDescent="0.25">
      <c r="A12" s="310"/>
      <c r="B12" s="310"/>
      <c r="C12" s="310"/>
      <c r="D12" s="310"/>
      <c r="E12" s="310"/>
      <c r="F12" s="310"/>
      <c r="G12" s="310"/>
      <c r="H12" s="227"/>
      <c r="I12" s="227"/>
      <c r="K12" s="276"/>
      <c r="L12" s="276"/>
      <c r="M12" s="276"/>
      <c r="N12" s="276"/>
      <c r="O12" s="276"/>
      <c r="P12" s="276"/>
      <c r="Q12" s="276"/>
      <c r="R12" s="311"/>
      <c r="S12" s="311"/>
      <c r="T12" s="227"/>
      <c r="U12" s="227"/>
      <c r="V12" s="125">
        <f t="shared" si="0"/>
        <v>0</v>
      </c>
      <c r="W12" s="276"/>
      <c r="X12" s="276"/>
      <c r="Y12" s="276"/>
      <c r="Z12" s="276"/>
      <c r="AA12" s="276"/>
      <c r="AB12" s="276"/>
      <c r="AC12" s="276"/>
      <c r="AD12" s="307"/>
      <c r="AE12" s="307"/>
      <c r="AF12" s="307"/>
      <c r="AG12" s="307"/>
      <c r="AH12" s="227"/>
      <c r="AI12" s="227"/>
      <c r="AJ12" s="227"/>
      <c r="AK12" s="291"/>
      <c r="AL12" s="291"/>
      <c r="AM12" s="275"/>
      <c r="AN12" s="228" t="e">
        <f>VLOOKUP(AD12, DATA!X49:Y55, 2, FALSE)</f>
        <v>#N/A</v>
      </c>
      <c r="AO12" s="228"/>
      <c r="AP12" s="228">
        <f t="shared" si="1"/>
        <v>0</v>
      </c>
      <c r="AQ12" s="228"/>
      <c r="AS12" s="274"/>
      <c r="AT12" s="274"/>
      <c r="AU12" s="274"/>
      <c r="AV12" s="274"/>
      <c r="AW12" s="274"/>
      <c r="AX12" s="274"/>
      <c r="AY12" s="274"/>
      <c r="AZ12" s="274"/>
      <c r="BA12" s="274"/>
    </row>
    <row r="13" spans="1:70" x14ac:dyDescent="0.25">
      <c r="A13" s="310"/>
      <c r="B13" s="310"/>
      <c r="C13" s="310"/>
      <c r="D13" s="310"/>
      <c r="E13" s="310"/>
      <c r="F13" s="310"/>
      <c r="G13" s="310"/>
      <c r="H13" s="227"/>
      <c r="I13" s="227"/>
      <c r="K13" s="276"/>
      <c r="L13" s="276"/>
      <c r="M13" s="276"/>
      <c r="N13" s="276"/>
      <c r="O13" s="276"/>
      <c r="P13" s="276"/>
      <c r="Q13" s="276"/>
      <c r="R13" s="311"/>
      <c r="S13" s="311"/>
      <c r="T13" s="227"/>
      <c r="U13" s="227"/>
      <c r="V13" s="125">
        <f t="shared" si="0"/>
        <v>0</v>
      </c>
      <c r="W13" s="276"/>
      <c r="X13" s="276"/>
      <c r="Y13" s="276"/>
      <c r="Z13" s="276"/>
      <c r="AA13" s="276"/>
      <c r="AB13" s="276"/>
      <c r="AC13" s="276"/>
      <c r="AD13" s="307"/>
      <c r="AE13" s="307"/>
      <c r="AF13" s="307"/>
      <c r="AG13" s="307"/>
      <c r="AH13" s="227"/>
      <c r="AI13" s="227"/>
      <c r="AJ13" s="227"/>
      <c r="AK13" s="291"/>
      <c r="AL13" s="291"/>
      <c r="AM13" s="275"/>
      <c r="AN13" s="228" t="e">
        <f>VLOOKUP(AD13, DATA!X50:Y56, 2, FALSE)</f>
        <v>#N/A</v>
      </c>
      <c r="AO13" s="228"/>
      <c r="AP13" s="228">
        <f t="shared" si="1"/>
        <v>0</v>
      </c>
      <c r="AQ13" s="228"/>
      <c r="AS13" s="274"/>
      <c r="AT13" s="274"/>
      <c r="AU13" s="274"/>
      <c r="AV13" s="274"/>
      <c r="AW13" s="274"/>
      <c r="AX13" s="274"/>
      <c r="AY13" s="274"/>
      <c r="AZ13" s="274"/>
      <c r="BA13" s="274"/>
    </row>
    <row r="14" spans="1:70" x14ac:dyDescent="0.25">
      <c r="A14" s="310"/>
      <c r="B14" s="310"/>
      <c r="C14" s="310"/>
      <c r="D14" s="310"/>
      <c r="E14" s="310"/>
      <c r="F14" s="310"/>
      <c r="G14" s="310"/>
      <c r="H14" s="227"/>
      <c r="I14" s="227"/>
      <c r="K14" s="276"/>
      <c r="L14" s="276"/>
      <c r="M14" s="276"/>
      <c r="N14" s="276"/>
      <c r="O14" s="276"/>
      <c r="P14" s="276"/>
      <c r="Q14" s="276"/>
      <c r="R14" s="311"/>
      <c r="S14" s="311"/>
      <c r="T14" s="227"/>
      <c r="U14" s="227"/>
      <c r="V14" s="125">
        <f t="shared" si="0"/>
        <v>0</v>
      </c>
      <c r="W14" s="276"/>
      <c r="X14" s="276"/>
      <c r="Y14" s="276"/>
      <c r="Z14" s="276"/>
      <c r="AA14" s="276"/>
      <c r="AB14" s="276"/>
      <c r="AC14" s="276"/>
      <c r="AD14" s="307"/>
      <c r="AE14" s="307"/>
      <c r="AF14" s="307"/>
      <c r="AG14" s="307"/>
      <c r="AH14" s="227"/>
      <c r="AI14" s="227"/>
      <c r="AJ14" s="227"/>
      <c r="AK14" s="291"/>
      <c r="AL14" s="291"/>
      <c r="AM14" s="275"/>
      <c r="AN14" s="228" t="e">
        <f>VLOOKUP(AD14, DATA!X51:Y57, 2, FALSE)</f>
        <v>#N/A</v>
      </c>
      <c r="AO14" s="228"/>
      <c r="AP14" s="228">
        <f t="shared" si="1"/>
        <v>0</v>
      </c>
      <c r="AQ14" s="228"/>
      <c r="AS14" s="274"/>
      <c r="AT14" s="274"/>
      <c r="AU14" s="274"/>
      <c r="AV14" s="274"/>
      <c r="AW14" s="274"/>
      <c r="AX14" s="274"/>
      <c r="AY14" s="274"/>
      <c r="AZ14" s="274"/>
      <c r="BA14" s="274"/>
    </row>
    <row r="15" spans="1:70" x14ac:dyDescent="0.25">
      <c r="A15" s="310"/>
      <c r="B15" s="310"/>
      <c r="C15" s="310"/>
      <c r="D15" s="310"/>
      <c r="E15" s="310"/>
      <c r="F15" s="310"/>
      <c r="G15" s="310"/>
      <c r="H15" s="227"/>
      <c r="I15" s="227"/>
      <c r="K15" s="276"/>
      <c r="L15" s="276"/>
      <c r="M15" s="276"/>
      <c r="N15" s="276"/>
      <c r="O15" s="276"/>
      <c r="P15" s="276"/>
      <c r="Q15" s="276"/>
      <c r="R15" s="311"/>
      <c r="S15" s="311"/>
      <c r="T15" s="227"/>
      <c r="U15" s="227"/>
      <c r="V15" s="125">
        <f t="shared" si="0"/>
        <v>0</v>
      </c>
      <c r="W15" s="276"/>
      <c r="X15" s="276"/>
      <c r="Y15" s="276"/>
      <c r="Z15" s="276"/>
      <c r="AA15" s="276"/>
      <c r="AB15" s="276"/>
      <c r="AC15" s="276"/>
      <c r="AD15" s="307"/>
      <c r="AE15" s="307"/>
      <c r="AF15" s="307"/>
      <c r="AG15" s="307"/>
      <c r="AH15" s="227"/>
      <c r="AI15" s="227"/>
      <c r="AJ15" s="227"/>
      <c r="AK15" s="291"/>
      <c r="AL15" s="291"/>
      <c r="AM15" s="275"/>
      <c r="AN15" s="228" t="e">
        <f>VLOOKUP(AD15, DATA!X52:Y58, 2, FALSE)</f>
        <v>#N/A</v>
      </c>
      <c r="AO15" s="228"/>
      <c r="AP15" s="228">
        <f t="shared" si="1"/>
        <v>0</v>
      </c>
      <c r="AQ15" s="228"/>
      <c r="AS15" s="274"/>
      <c r="AT15" s="274"/>
      <c r="AU15" s="274"/>
      <c r="AV15" s="274"/>
      <c r="AW15" s="274"/>
      <c r="AX15" s="274"/>
      <c r="AY15" s="274"/>
      <c r="AZ15" s="274"/>
      <c r="BA15" s="274"/>
    </row>
    <row r="16" spans="1:70" x14ac:dyDescent="0.25">
      <c r="A16" s="310"/>
      <c r="B16" s="310"/>
      <c r="C16" s="310"/>
      <c r="D16" s="310"/>
      <c r="E16" s="310"/>
      <c r="F16" s="310"/>
      <c r="G16" s="310"/>
      <c r="H16" s="227"/>
      <c r="I16" s="227"/>
      <c r="K16" s="276"/>
      <c r="L16" s="276"/>
      <c r="M16" s="276"/>
      <c r="N16" s="276"/>
      <c r="O16" s="276"/>
      <c r="P16" s="276"/>
      <c r="Q16" s="276"/>
      <c r="R16" s="311"/>
      <c r="S16" s="311"/>
      <c r="T16" s="227"/>
      <c r="U16" s="227"/>
      <c r="V16" s="125">
        <f t="shared" si="0"/>
        <v>0</v>
      </c>
      <c r="W16" s="276"/>
      <c r="X16" s="276"/>
      <c r="Y16" s="276"/>
      <c r="Z16" s="276"/>
      <c r="AA16" s="276"/>
      <c r="AB16" s="276"/>
      <c r="AC16" s="276"/>
      <c r="AD16" s="307"/>
      <c r="AE16" s="307"/>
      <c r="AF16" s="307"/>
      <c r="AG16" s="307"/>
      <c r="AH16" s="227"/>
      <c r="AI16" s="227"/>
      <c r="AJ16" s="227"/>
      <c r="AK16" s="291"/>
      <c r="AL16" s="291"/>
      <c r="AM16" s="275"/>
      <c r="AN16" s="228" t="e">
        <f>VLOOKUP(AD16, DATA!X53:Y59, 2, FALSE)</f>
        <v>#N/A</v>
      </c>
      <c r="AO16" s="228"/>
      <c r="AP16" s="228">
        <f t="shared" si="1"/>
        <v>0</v>
      </c>
      <c r="AQ16" s="228"/>
      <c r="AS16" s="274"/>
      <c r="AT16" s="274"/>
      <c r="AU16" s="274"/>
      <c r="AV16" s="274"/>
      <c r="AW16" s="274"/>
      <c r="AX16" s="274"/>
      <c r="AY16" s="274"/>
      <c r="AZ16" s="274"/>
      <c r="BA16" s="274"/>
    </row>
    <row r="17" spans="1:53" x14ac:dyDescent="0.25">
      <c r="A17" s="310"/>
      <c r="B17" s="310"/>
      <c r="C17" s="310"/>
      <c r="D17" s="310"/>
      <c r="E17" s="310"/>
      <c r="F17" s="310"/>
      <c r="G17" s="310"/>
      <c r="H17" s="227"/>
      <c r="I17" s="227"/>
      <c r="K17" s="276"/>
      <c r="L17" s="276"/>
      <c r="M17" s="276"/>
      <c r="N17" s="276"/>
      <c r="O17" s="276"/>
      <c r="P17" s="276"/>
      <c r="Q17" s="276"/>
      <c r="R17" s="311"/>
      <c r="S17" s="311"/>
      <c r="T17" s="227"/>
      <c r="U17" s="227"/>
      <c r="V17" s="125">
        <f t="shared" si="0"/>
        <v>0</v>
      </c>
      <c r="W17" s="276"/>
      <c r="X17" s="276"/>
      <c r="Y17" s="276"/>
      <c r="Z17" s="276"/>
      <c r="AA17" s="276"/>
      <c r="AB17" s="276"/>
      <c r="AC17" s="276"/>
      <c r="AD17" s="307"/>
      <c r="AE17" s="307"/>
      <c r="AF17" s="307"/>
      <c r="AG17" s="307"/>
      <c r="AH17" s="227"/>
      <c r="AI17" s="227"/>
      <c r="AJ17" s="227"/>
      <c r="AK17" s="291"/>
      <c r="AL17" s="291"/>
      <c r="AM17" s="275"/>
      <c r="AN17" s="228" t="e">
        <f>VLOOKUP(AD17, DATA!X54:Y60, 2, FALSE)</f>
        <v>#N/A</v>
      </c>
      <c r="AO17" s="228"/>
      <c r="AP17" s="228">
        <f t="shared" si="1"/>
        <v>0</v>
      </c>
      <c r="AQ17" s="228"/>
      <c r="AS17" s="274"/>
      <c r="AT17" s="274"/>
      <c r="AU17" s="274"/>
      <c r="AV17" s="274"/>
      <c r="AW17" s="274"/>
      <c r="AX17" s="274"/>
      <c r="AY17" s="274"/>
      <c r="AZ17" s="274"/>
      <c r="BA17" s="274"/>
    </row>
    <row r="18" spans="1:53" x14ac:dyDescent="0.25">
      <c r="A18" s="310"/>
      <c r="B18" s="310"/>
      <c r="C18" s="310"/>
      <c r="D18" s="310"/>
      <c r="E18" s="310"/>
      <c r="F18" s="310"/>
      <c r="G18" s="310"/>
      <c r="H18" s="227"/>
      <c r="I18" s="227"/>
      <c r="K18" s="276"/>
      <c r="L18" s="276"/>
      <c r="M18" s="276"/>
      <c r="N18" s="276"/>
      <c r="O18" s="276"/>
      <c r="P18" s="276"/>
      <c r="Q18" s="276"/>
      <c r="R18" s="311"/>
      <c r="S18" s="311"/>
      <c r="T18" s="227"/>
      <c r="U18" s="227"/>
      <c r="V18" s="125">
        <f t="shared" si="0"/>
        <v>0</v>
      </c>
      <c r="W18" s="276"/>
      <c r="X18" s="276"/>
      <c r="Y18" s="276"/>
      <c r="Z18" s="276"/>
      <c r="AA18" s="276"/>
      <c r="AB18" s="276"/>
      <c r="AC18" s="276"/>
      <c r="AD18" s="307"/>
      <c r="AE18" s="307"/>
      <c r="AF18" s="307"/>
      <c r="AG18" s="307"/>
      <c r="AH18" s="227"/>
      <c r="AI18" s="227"/>
      <c r="AJ18" s="227"/>
      <c r="AK18" s="291"/>
      <c r="AL18" s="291"/>
      <c r="AM18" s="275"/>
      <c r="AN18" s="228" t="e">
        <f>VLOOKUP(AD18, DATA!X55:Y61, 2, FALSE)</f>
        <v>#N/A</v>
      </c>
      <c r="AO18" s="228"/>
      <c r="AP18" s="228">
        <f t="shared" si="1"/>
        <v>0</v>
      </c>
      <c r="AQ18" s="228"/>
    </row>
    <row r="19" spans="1:53" x14ac:dyDescent="0.25">
      <c r="A19" s="310"/>
      <c r="B19" s="310"/>
      <c r="C19" s="310"/>
      <c r="D19" s="310"/>
      <c r="E19" s="310"/>
      <c r="F19" s="310"/>
      <c r="G19" s="310"/>
      <c r="H19" s="227"/>
      <c r="I19" s="227"/>
      <c r="K19" s="276"/>
      <c r="L19" s="276"/>
      <c r="M19" s="276"/>
      <c r="N19" s="276"/>
      <c r="O19" s="276"/>
      <c r="P19" s="276"/>
      <c r="Q19" s="276"/>
      <c r="R19" s="311"/>
      <c r="S19" s="311"/>
      <c r="T19" s="227"/>
      <c r="U19" s="227"/>
      <c r="V19" s="125">
        <f t="shared" si="0"/>
        <v>0</v>
      </c>
      <c r="W19" s="276"/>
      <c r="X19" s="276"/>
      <c r="Y19" s="276"/>
      <c r="Z19" s="276"/>
      <c r="AA19" s="276"/>
      <c r="AB19" s="276"/>
      <c r="AC19" s="276"/>
      <c r="AD19" s="307"/>
      <c r="AE19" s="307"/>
      <c r="AF19" s="307"/>
      <c r="AG19" s="307"/>
      <c r="AH19" s="227"/>
      <c r="AI19" s="227"/>
      <c r="AJ19" s="227"/>
      <c r="AK19" s="291"/>
      <c r="AL19" s="291"/>
      <c r="AM19" s="275"/>
      <c r="AN19" s="228" t="e">
        <f>VLOOKUP(AD19, DATA!X56:Y62, 2, FALSE)</f>
        <v>#N/A</v>
      </c>
      <c r="AO19" s="228"/>
      <c r="AP19" s="228">
        <f t="shared" si="1"/>
        <v>0</v>
      </c>
      <c r="AQ19" s="228"/>
    </row>
    <row r="20" spans="1:53" x14ac:dyDescent="0.25">
      <c r="A20" s="310"/>
      <c r="B20" s="310"/>
      <c r="C20" s="310"/>
      <c r="D20" s="310"/>
      <c r="E20" s="310"/>
      <c r="F20" s="310"/>
      <c r="G20" s="310"/>
      <c r="H20" s="227"/>
      <c r="I20" s="227"/>
      <c r="K20" s="276"/>
      <c r="L20" s="276"/>
      <c r="M20" s="276"/>
      <c r="N20" s="276"/>
      <c r="O20" s="276"/>
      <c r="P20" s="276"/>
      <c r="Q20" s="276"/>
      <c r="R20" s="311"/>
      <c r="S20" s="311"/>
      <c r="T20" s="227"/>
      <c r="U20" s="227"/>
      <c r="V20" s="125">
        <f t="shared" si="0"/>
        <v>0</v>
      </c>
      <c r="W20" s="276"/>
      <c r="X20" s="276"/>
      <c r="Y20" s="276"/>
      <c r="Z20" s="276"/>
      <c r="AA20" s="276"/>
      <c r="AB20" s="276"/>
      <c r="AC20" s="276"/>
      <c r="AD20" s="307"/>
      <c r="AE20" s="307"/>
      <c r="AF20" s="307"/>
      <c r="AG20" s="307"/>
      <c r="AH20" s="227"/>
      <c r="AI20" s="227"/>
      <c r="AJ20" s="227"/>
      <c r="AK20" s="291"/>
      <c r="AL20" s="291"/>
      <c r="AM20" s="275"/>
      <c r="AN20" s="228" t="e">
        <f>VLOOKUP(AD20, DATA!X57:Y63, 2, FALSE)</f>
        <v>#N/A</v>
      </c>
      <c r="AO20" s="228"/>
      <c r="AP20" s="228">
        <f t="shared" si="1"/>
        <v>0</v>
      </c>
      <c r="AQ20" s="228"/>
    </row>
    <row r="21" spans="1:53" x14ac:dyDescent="0.25">
      <c r="A21" s="310"/>
      <c r="B21" s="310"/>
      <c r="C21" s="310"/>
      <c r="D21" s="310"/>
      <c r="E21" s="310"/>
      <c r="F21" s="310"/>
      <c r="G21" s="310"/>
      <c r="H21" s="227"/>
      <c r="I21" s="227"/>
      <c r="K21" s="276"/>
      <c r="L21" s="276"/>
      <c r="M21" s="276"/>
      <c r="N21" s="276"/>
      <c r="O21" s="276"/>
      <c r="P21" s="276"/>
      <c r="Q21" s="276"/>
      <c r="R21" s="311"/>
      <c r="S21" s="311"/>
      <c r="T21" s="227"/>
      <c r="U21" s="227"/>
      <c r="V21" s="125">
        <f t="shared" si="0"/>
        <v>0</v>
      </c>
      <c r="W21" s="276"/>
      <c r="X21" s="276"/>
      <c r="Y21" s="276"/>
      <c r="Z21" s="276"/>
      <c r="AA21" s="276"/>
      <c r="AB21" s="276"/>
      <c r="AC21" s="276"/>
      <c r="AD21" s="307"/>
      <c r="AE21" s="307"/>
      <c r="AF21" s="307"/>
      <c r="AG21" s="307"/>
      <c r="AH21" s="227"/>
      <c r="AI21" s="227"/>
      <c r="AJ21" s="227"/>
      <c r="AK21" s="291"/>
      <c r="AL21" s="291"/>
      <c r="AM21" s="275"/>
      <c r="AN21" s="228" t="e">
        <f>VLOOKUP(AD21, DATA!X58:Y64, 2, FALSE)</f>
        <v>#N/A</v>
      </c>
      <c r="AO21" s="228"/>
      <c r="AP21" s="228">
        <f t="shared" si="1"/>
        <v>0</v>
      </c>
      <c r="AQ21" s="228"/>
    </row>
    <row r="22" spans="1:53" x14ac:dyDescent="0.25">
      <c r="A22" s="310"/>
      <c r="B22" s="310"/>
      <c r="C22" s="310"/>
      <c r="D22" s="310"/>
      <c r="E22" s="310"/>
      <c r="F22" s="310"/>
      <c r="G22" s="310"/>
      <c r="H22" s="227"/>
      <c r="I22" s="227"/>
      <c r="K22" s="276"/>
      <c r="L22" s="276"/>
      <c r="M22" s="276"/>
      <c r="N22" s="276"/>
      <c r="O22" s="276"/>
      <c r="P22" s="276"/>
      <c r="Q22" s="276"/>
      <c r="R22" s="311"/>
      <c r="S22" s="311"/>
      <c r="T22" s="227"/>
      <c r="U22" s="227"/>
      <c r="V22" s="125">
        <f t="shared" si="0"/>
        <v>0</v>
      </c>
      <c r="W22" s="276"/>
      <c r="X22" s="276"/>
      <c r="Y22" s="276"/>
      <c r="Z22" s="276"/>
      <c r="AA22" s="276"/>
      <c r="AB22" s="276"/>
      <c r="AC22" s="276"/>
      <c r="AD22" s="307"/>
      <c r="AE22" s="307"/>
      <c r="AF22" s="307"/>
      <c r="AG22" s="307"/>
      <c r="AH22" s="227"/>
      <c r="AI22" s="227"/>
      <c r="AJ22" s="227"/>
      <c r="AK22" s="291"/>
      <c r="AL22" s="291"/>
      <c r="AM22" s="275"/>
      <c r="AN22" s="228" t="e">
        <f>VLOOKUP(AD22, DATA!X59:Y65, 2, FALSE)</f>
        <v>#N/A</v>
      </c>
      <c r="AO22" s="228"/>
      <c r="AP22" s="228">
        <f t="shared" si="1"/>
        <v>0</v>
      </c>
      <c r="AQ22" s="228"/>
    </row>
    <row r="23" spans="1:53" x14ac:dyDescent="0.25">
      <c r="A23" s="310"/>
      <c r="B23" s="310"/>
      <c r="C23" s="310"/>
      <c r="D23" s="310"/>
      <c r="E23" s="310"/>
      <c r="F23" s="310"/>
      <c r="G23" s="310"/>
      <c r="H23" s="227"/>
      <c r="I23" s="227"/>
      <c r="K23" s="276"/>
      <c r="L23" s="276"/>
      <c r="M23" s="276"/>
      <c r="N23" s="276"/>
      <c r="O23" s="276"/>
      <c r="P23" s="276"/>
      <c r="Q23" s="276"/>
      <c r="R23" s="311"/>
      <c r="S23" s="311"/>
      <c r="T23" s="227"/>
      <c r="U23" s="227"/>
      <c r="V23" s="125">
        <f t="shared" si="0"/>
        <v>0</v>
      </c>
      <c r="W23" s="276"/>
      <c r="X23" s="276"/>
      <c r="Y23" s="276"/>
      <c r="Z23" s="276"/>
      <c r="AA23" s="276"/>
      <c r="AB23" s="276"/>
      <c r="AC23" s="276"/>
      <c r="AD23" s="307"/>
      <c r="AE23" s="307"/>
      <c r="AF23" s="307"/>
      <c r="AG23" s="307"/>
      <c r="AH23" s="227"/>
      <c r="AI23" s="227"/>
      <c r="AJ23" s="227"/>
      <c r="AK23" s="291"/>
      <c r="AL23" s="291"/>
      <c r="AM23" s="275"/>
      <c r="AN23" s="228" t="e">
        <f>VLOOKUP(AD23, DATA!X60:Y66, 2, FALSE)</f>
        <v>#N/A</v>
      </c>
      <c r="AO23" s="228"/>
      <c r="AP23" s="228">
        <f t="shared" si="1"/>
        <v>0</v>
      </c>
      <c r="AQ23" s="228"/>
    </row>
    <row r="24" spans="1:53" x14ac:dyDescent="0.25">
      <c r="A24" s="310"/>
      <c r="B24" s="310"/>
      <c r="C24" s="310"/>
      <c r="D24" s="310"/>
      <c r="E24" s="310"/>
      <c r="F24" s="310"/>
      <c r="G24" s="310"/>
      <c r="H24" s="227"/>
      <c r="I24" s="227"/>
      <c r="K24" s="276"/>
      <c r="L24" s="276"/>
      <c r="M24" s="276"/>
      <c r="N24" s="276"/>
      <c r="O24" s="276"/>
      <c r="P24" s="276"/>
      <c r="Q24" s="276"/>
      <c r="R24" s="311"/>
      <c r="S24" s="311"/>
      <c r="T24" s="227"/>
      <c r="U24" s="227"/>
      <c r="V24" s="125">
        <f t="shared" si="0"/>
        <v>0</v>
      </c>
      <c r="W24" s="276"/>
      <c r="X24" s="276"/>
      <c r="Y24" s="276"/>
      <c r="Z24" s="276"/>
      <c r="AA24" s="276"/>
      <c r="AB24" s="276"/>
      <c r="AC24" s="276"/>
      <c r="AD24" s="307"/>
      <c r="AE24" s="307"/>
      <c r="AF24" s="307"/>
      <c r="AG24" s="307"/>
      <c r="AH24" s="227"/>
      <c r="AI24" s="227"/>
      <c r="AJ24" s="227"/>
      <c r="AK24" s="291"/>
      <c r="AL24" s="291"/>
      <c r="AM24" s="275"/>
      <c r="AN24" s="228" t="e">
        <f>VLOOKUP(AD24, DATA!X61:Y67, 2, FALSE)</f>
        <v>#N/A</v>
      </c>
      <c r="AO24" s="228"/>
      <c r="AP24" s="228">
        <f t="shared" si="1"/>
        <v>0</v>
      </c>
      <c r="AQ24" s="228"/>
    </row>
    <row r="25" spans="1:53" x14ac:dyDescent="0.25">
      <c r="A25" s="310"/>
      <c r="B25" s="310"/>
      <c r="C25" s="310"/>
      <c r="D25" s="310"/>
      <c r="E25" s="310"/>
      <c r="F25" s="310"/>
      <c r="G25" s="310"/>
      <c r="H25" s="227"/>
      <c r="I25" s="227"/>
      <c r="K25" s="276"/>
      <c r="L25" s="276"/>
      <c r="M25" s="276"/>
      <c r="N25" s="276"/>
      <c r="O25" s="276"/>
      <c r="P25" s="276"/>
      <c r="Q25" s="276"/>
      <c r="R25" s="311"/>
      <c r="S25" s="311"/>
      <c r="T25" s="227"/>
      <c r="U25" s="227"/>
      <c r="V25" s="125">
        <f t="shared" si="0"/>
        <v>0</v>
      </c>
      <c r="W25" s="276"/>
      <c r="X25" s="276"/>
      <c r="Y25" s="276"/>
      <c r="Z25" s="276"/>
      <c r="AA25" s="276"/>
      <c r="AB25" s="276"/>
      <c r="AC25" s="276"/>
      <c r="AD25" s="307"/>
      <c r="AE25" s="307"/>
      <c r="AF25" s="307"/>
      <c r="AG25" s="307"/>
      <c r="AH25" s="227"/>
      <c r="AI25" s="227"/>
      <c r="AJ25" s="227"/>
      <c r="AK25" s="291"/>
      <c r="AL25" s="291"/>
      <c r="AM25" s="275"/>
      <c r="AN25" s="228" t="e">
        <f>VLOOKUP(AD25, DATA!X62:Y68, 2, FALSE)</f>
        <v>#N/A</v>
      </c>
      <c r="AO25" s="228"/>
      <c r="AP25" s="228">
        <f t="shared" si="1"/>
        <v>0</v>
      </c>
      <c r="AQ25" s="228"/>
    </row>
  </sheetData>
  <mergeCells count="264">
    <mergeCell ref="R25:S25"/>
    <mergeCell ref="T25:U25"/>
    <mergeCell ref="K23:Q23"/>
    <mergeCell ref="R23:S23"/>
    <mergeCell ref="T23:U23"/>
    <mergeCell ref="K24:Q24"/>
    <mergeCell ref="R24:S24"/>
    <mergeCell ref="T24:U24"/>
    <mergeCell ref="R21:S21"/>
    <mergeCell ref="T21:U21"/>
    <mergeCell ref="K22:Q22"/>
    <mergeCell ref="R22:S22"/>
    <mergeCell ref="T22:U22"/>
    <mergeCell ref="K19:Q19"/>
    <mergeCell ref="R19:S19"/>
    <mergeCell ref="T19:U19"/>
    <mergeCell ref="K20:Q20"/>
    <mergeCell ref="R20:S20"/>
    <mergeCell ref="T20:U20"/>
    <mergeCell ref="R17:S17"/>
    <mergeCell ref="T17:U17"/>
    <mergeCell ref="K18:Q18"/>
    <mergeCell ref="R18:S18"/>
    <mergeCell ref="T18:U18"/>
    <mergeCell ref="T13:U13"/>
    <mergeCell ref="K14:Q14"/>
    <mergeCell ref="R14:S14"/>
    <mergeCell ref="T14:U14"/>
    <mergeCell ref="K15:Q15"/>
    <mergeCell ref="R15:S15"/>
    <mergeCell ref="T15:U15"/>
    <mergeCell ref="R7:S7"/>
    <mergeCell ref="T7:U7"/>
    <mergeCell ref="K8:Q8"/>
    <mergeCell ref="R8:S8"/>
    <mergeCell ref="T8:U8"/>
    <mergeCell ref="K9:Q9"/>
    <mergeCell ref="R9:S9"/>
    <mergeCell ref="T9:U9"/>
    <mergeCell ref="R16:S16"/>
    <mergeCell ref="T16:U16"/>
    <mergeCell ref="H22:I22"/>
    <mergeCell ref="H23:I23"/>
    <mergeCell ref="H24:I24"/>
    <mergeCell ref="H25:I25"/>
    <mergeCell ref="K6:Q6"/>
    <mergeCell ref="K5:Q5"/>
    <mergeCell ref="K7:Q7"/>
    <mergeCell ref="K10:Q10"/>
    <mergeCell ref="K13:Q13"/>
    <mergeCell ref="K16:Q16"/>
    <mergeCell ref="H16:I16"/>
    <mergeCell ref="H17:I17"/>
    <mergeCell ref="H18:I18"/>
    <mergeCell ref="H19:I19"/>
    <mergeCell ref="H20:I20"/>
    <mergeCell ref="H21:I21"/>
    <mergeCell ref="K11:Q11"/>
    <mergeCell ref="K12:Q12"/>
    <mergeCell ref="K17:Q17"/>
    <mergeCell ref="K21:Q21"/>
    <mergeCell ref="K25:Q25"/>
    <mergeCell ref="R13:S13"/>
    <mergeCell ref="A25:G25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A19:G19"/>
    <mergeCell ref="A20:G20"/>
    <mergeCell ref="A21:G21"/>
    <mergeCell ref="A22:G22"/>
    <mergeCell ref="A23:G23"/>
    <mergeCell ref="A24:G24"/>
    <mergeCell ref="A13:G13"/>
    <mergeCell ref="A14:G14"/>
    <mergeCell ref="A15:G15"/>
    <mergeCell ref="A16:G16"/>
    <mergeCell ref="A17:G17"/>
    <mergeCell ref="A18:G18"/>
    <mergeCell ref="A7:G7"/>
    <mergeCell ref="A8:G8"/>
    <mergeCell ref="A9:G9"/>
    <mergeCell ref="A10:G10"/>
    <mergeCell ref="A11:G11"/>
    <mergeCell ref="A12:G12"/>
    <mergeCell ref="W2:Z2"/>
    <mergeCell ref="AA2:AB2"/>
    <mergeCell ref="H5:I5"/>
    <mergeCell ref="A5:G5"/>
    <mergeCell ref="A6:G6"/>
    <mergeCell ref="H6:I6"/>
    <mergeCell ref="R6:S6"/>
    <mergeCell ref="R5:S5"/>
    <mergeCell ref="T5:U5"/>
    <mergeCell ref="T6:U6"/>
    <mergeCell ref="W6:AC6"/>
    <mergeCell ref="W7:AC7"/>
    <mergeCell ref="W9:AC9"/>
    <mergeCell ref="W11:AC11"/>
    <mergeCell ref="R10:S10"/>
    <mergeCell ref="T10:U10"/>
    <mergeCell ref="R11:S11"/>
    <mergeCell ref="T11:U11"/>
    <mergeCell ref="R12:S12"/>
    <mergeCell ref="T12:U12"/>
    <mergeCell ref="W1:Z1"/>
    <mergeCell ref="AA1:AB1"/>
    <mergeCell ref="AD1:AG1"/>
    <mergeCell ref="AH1:AI1"/>
    <mergeCell ref="A2:E2"/>
    <mergeCell ref="F2:G2"/>
    <mergeCell ref="I2:L2"/>
    <mergeCell ref="M2:N2"/>
    <mergeCell ref="P2:Q2"/>
    <mergeCell ref="R2:U2"/>
    <mergeCell ref="A1:B1"/>
    <mergeCell ref="C1:G1"/>
    <mergeCell ref="I1:K1"/>
    <mergeCell ref="L1:N1"/>
    <mergeCell ref="P1:S1"/>
    <mergeCell ref="T1:U1"/>
    <mergeCell ref="AD6:AG6"/>
    <mergeCell ref="AH6:AK6"/>
    <mergeCell ref="W5:AC5"/>
    <mergeCell ref="AH5:AK5"/>
    <mergeCell ref="AD5:AG5"/>
    <mergeCell ref="AN5:AO5"/>
    <mergeCell ref="AP5:AQ5"/>
    <mergeCell ref="AP4:AQ4"/>
    <mergeCell ref="AP6:AQ6"/>
    <mergeCell ref="AN6:AO6"/>
    <mergeCell ref="AL6:AM6"/>
    <mergeCell ref="AL5:AM5"/>
    <mergeCell ref="AD7:AG7"/>
    <mergeCell ref="AH7:AK7"/>
    <mergeCell ref="AL7:AM7"/>
    <mergeCell ref="AN7:AO7"/>
    <mergeCell ref="AP7:AQ7"/>
    <mergeCell ref="W8:AC8"/>
    <mergeCell ref="AD8:AG8"/>
    <mergeCell ref="AH8:AK8"/>
    <mergeCell ref="AL8:AM8"/>
    <mergeCell ref="AN8:AO8"/>
    <mergeCell ref="AP8:AQ8"/>
    <mergeCell ref="AD9:AG9"/>
    <mergeCell ref="AH9:AK9"/>
    <mergeCell ref="AL9:AM9"/>
    <mergeCell ref="AN9:AO9"/>
    <mergeCell ref="AP9:AQ9"/>
    <mergeCell ref="W10:AC10"/>
    <mergeCell ref="AD10:AG10"/>
    <mergeCell ref="AH10:AK10"/>
    <mergeCell ref="AL10:AM10"/>
    <mergeCell ref="AN10:AO10"/>
    <mergeCell ref="AP10:AQ10"/>
    <mergeCell ref="AD11:AG11"/>
    <mergeCell ref="AH11:AK11"/>
    <mergeCell ref="AL11:AM11"/>
    <mergeCell ref="AN11:AO11"/>
    <mergeCell ref="AP11:AQ11"/>
    <mergeCell ref="W12:AC12"/>
    <mergeCell ref="AD12:AG12"/>
    <mergeCell ref="AH12:AK12"/>
    <mergeCell ref="AL12:AM12"/>
    <mergeCell ref="AN12:AO12"/>
    <mergeCell ref="AP12:AQ12"/>
    <mergeCell ref="W13:AC13"/>
    <mergeCell ref="AD13:AG13"/>
    <mergeCell ref="AH13:AK13"/>
    <mergeCell ref="AL13:AM13"/>
    <mergeCell ref="AN13:AO13"/>
    <mergeCell ref="AP13:AQ13"/>
    <mergeCell ref="W14:AC14"/>
    <mergeCell ref="AD14:AG14"/>
    <mergeCell ref="AH14:AK14"/>
    <mergeCell ref="AL14:AM14"/>
    <mergeCell ref="AN14:AO14"/>
    <mergeCell ref="AP14:AQ14"/>
    <mergeCell ref="W15:AC15"/>
    <mergeCell ref="AD15:AG15"/>
    <mergeCell ref="AH15:AK15"/>
    <mergeCell ref="AL15:AM15"/>
    <mergeCell ref="AN15:AO15"/>
    <mergeCell ref="AP15:AQ15"/>
    <mergeCell ref="W16:AC16"/>
    <mergeCell ref="AD16:AG16"/>
    <mergeCell ref="AH16:AK16"/>
    <mergeCell ref="AL16:AM16"/>
    <mergeCell ref="AN16:AO16"/>
    <mergeCell ref="AP16:AQ16"/>
    <mergeCell ref="W17:AC17"/>
    <mergeCell ref="AD17:AG17"/>
    <mergeCell ref="AH17:AK17"/>
    <mergeCell ref="AL17:AM17"/>
    <mergeCell ref="AN17:AO17"/>
    <mergeCell ref="AP17:AQ17"/>
    <mergeCell ref="W18:AC18"/>
    <mergeCell ref="AD18:AG18"/>
    <mergeCell ref="AH18:AK18"/>
    <mergeCell ref="AL18:AM18"/>
    <mergeCell ref="AN18:AO18"/>
    <mergeCell ref="AP18:AQ18"/>
    <mergeCell ref="W19:AC19"/>
    <mergeCell ref="AD19:AG19"/>
    <mergeCell ref="AH19:AK19"/>
    <mergeCell ref="AL19:AM19"/>
    <mergeCell ref="AN19:AO19"/>
    <mergeCell ref="AP19:AQ19"/>
    <mergeCell ref="W20:AC20"/>
    <mergeCell ref="AD20:AG20"/>
    <mergeCell ref="AH20:AK20"/>
    <mergeCell ref="AL20:AM20"/>
    <mergeCell ref="AN20:AO20"/>
    <mergeCell ref="AP20:AQ20"/>
    <mergeCell ref="AN23:AO23"/>
    <mergeCell ref="AP23:AQ23"/>
    <mergeCell ref="W24:AC24"/>
    <mergeCell ref="AD24:AG24"/>
    <mergeCell ref="AH24:AK24"/>
    <mergeCell ref="AL24:AM24"/>
    <mergeCell ref="AN24:AO24"/>
    <mergeCell ref="AP24:AQ24"/>
    <mergeCell ref="W21:AC21"/>
    <mergeCell ref="AD21:AG21"/>
    <mergeCell ref="AH21:AK21"/>
    <mergeCell ref="AL21:AM21"/>
    <mergeCell ref="AN21:AO21"/>
    <mergeCell ref="AP21:AQ21"/>
    <mergeCell ref="W22:AC22"/>
    <mergeCell ref="AD22:AG22"/>
    <mergeCell ref="AH22:AK22"/>
    <mergeCell ref="AL22:AM22"/>
    <mergeCell ref="AN22:AO22"/>
    <mergeCell ref="AP22:AQ22"/>
    <mergeCell ref="W25:AC25"/>
    <mergeCell ref="AD25:AG25"/>
    <mergeCell ref="AH25:AK25"/>
    <mergeCell ref="AL25:AM25"/>
    <mergeCell ref="AN25:AO25"/>
    <mergeCell ref="AP25:AQ25"/>
    <mergeCell ref="AS5:AY5"/>
    <mergeCell ref="AZ5:BA5"/>
    <mergeCell ref="AS6:BA6"/>
    <mergeCell ref="AS7:BA7"/>
    <mergeCell ref="AS8:BA8"/>
    <mergeCell ref="AS9:BA9"/>
    <mergeCell ref="AS10:BA10"/>
    <mergeCell ref="AS11:BA11"/>
    <mergeCell ref="AS12:BA12"/>
    <mergeCell ref="AS13:BA13"/>
    <mergeCell ref="AS14:BA14"/>
    <mergeCell ref="AS15:BA15"/>
    <mergeCell ref="AS16:BA16"/>
    <mergeCell ref="AS17:BA17"/>
    <mergeCell ref="W23:AC23"/>
    <mergeCell ref="AD23:AG23"/>
    <mergeCell ref="AH23:AK23"/>
    <mergeCell ref="AL23:AM23"/>
  </mergeCells>
  <conditionalFormatting sqref="AN6:AO25">
    <cfRule type="containsErrors" dxfId="3" priority="2">
      <formula>ISERROR(AN6)</formula>
    </cfRule>
  </conditionalFormatting>
  <conditionalFormatting sqref="A6:G25">
    <cfRule type="expression" dxfId="2" priority="33">
      <formula>IF((ROW()-5)&lt;=$BQ$5, TRUE, FALSE)</formula>
    </cfRule>
  </conditionalFormatting>
  <conditionalFormatting sqref="AS7:BA17">
    <cfRule type="expression" dxfId="1" priority="1">
      <formula>IF(ROW()-6&gt;$AZ$5, TRUE, FALSE)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DATA!$X$43:$X$49</xm:f>
          </x14:formula1>
          <xm:sqref>AD6:AG25</xm:sqref>
        </x14:dataValidation>
        <x14:dataValidation type="list" allowBlank="1" showInputMessage="1" showErrorMessage="1">
          <x14:formula1>
            <xm:f>DATA!$AA$43:$AA$51</xm:f>
          </x14:formula1>
          <xm:sqref>AS7:BA17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Introduction</vt:lpstr>
      <vt:lpstr>0. Sheet</vt:lpstr>
      <vt:lpstr>1. Priorities</vt:lpstr>
      <vt:lpstr>2. Attributes</vt:lpstr>
      <vt:lpstr>3. Qualities-Positive</vt:lpstr>
      <vt:lpstr>4. Qualities-Negative</vt:lpstr>
      <vt:lpstr>5. Active Skills</vt:lpstr>
      <vt:lpstr>6. Knowledge Skills</vt:lpstr>
      <vt:lpstr>7. Magic</vt:lpstr>
      <vt:lpstr>8. Gear</vt:lpstr>
      <vt:lpstr>9. Augmentation</vt:lpstr>
      <vt:lpstr>10. Vehicle</vt:lpstr>
      <vt:lpstr>11. Contacts</vt:lpstr>
      <vt:lpstr>DATA</vt:lpstr>
      <vt:lpstr>X. Template</vt:lpstr>
    </vt:vector>
  </TitlesOfParts>
  <Company>Praxair,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Bittner, Bradley</dc:creator>
  <cp:lastModifiedBy>Bittner, Bradley</cp:lastModifiedBy>
  <cp:lastPrinted>2013-10-31T21:39:34Z</cp:lastPrinted>
  <dcterms:created xsi:type="dcterms:W3CDTF">2013-10-24T20:51:39Z</dcterms:created>
  <dcterms:modified xsi:type="dcterms:W3CDTF">2014-01-02T16:53:04Z</dcterms:modified>
</cp:coreProperties>
</file>